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UFTitan\Documents\CSUF F22\225LF22\Springs lab\New lab writeup\"/>
    </mc:Choice>
  </mc:AlternateContent>
  <xr:revisionPtr revIDLastSave="0" documentId="13_ncr:1_{78CD8466-69D7-4A76-8EA8-B7D8AADF06B5}" xr6:coauthVersionLast="36" xr6:coauthVersionMax="36" xr10:uidLastSave="{00000000-0000-0000-0000-000000000000}"/>
  <bookViews>
    <workbookView xWindow="0" yWindow="0" windowWidth="19200" windowHeight="6640" tabRatio="1000" xr2:uid="{00000000-000D-0000-FFFF-FFFF00000000}"/>
  </bookViews>
  <sheets>
    <sheet name="Red static values" sheetId="1" r:id="rId1"/>
    <sheet name="Blue static values" sheetId="2" r:id="rId2"/>
    <sheet name="Green static values" sheetId="3" r:id="rId3"/>
    <sheet name="Red dynamic multipoint" sheetId="4" r:id="rId4"/>
    <sheet name="Blue dynamic multipoint" sheetId="5" r:id="rId5"/>
    <sheet name="Green dynamic multipoint" sheetId="6" r:id="rId6"/>
    <sheet name="Series and Parallel dynamic mea" sheetId="7" r:id="rId7"/>
    <sheet name="Spring properties" sheetId="8" r:id="rId8"/>
    <sheet name="Instructor calculations" sheetId="9" r:id="rId9"/>
  </sheets>
  <calcPr calcId="191029" iterateDelta="1E-4"/>
</workbook>
</file>

<file path=xl/calcChain.xml><?xml version="1.0" encoding="utf-8"?>
<calcChain xmlns="http://schemas.openxmlformats.org/spreadsheetml/2006/main">
  <c r="C17" i="9" l="1"/>
  <c r="F12" i="9"/>
  <c r="E12" i="9"/>
  <c r="F11" i="9"/>
  <c r="E11" i="9"/>
  <c r="F10" i="9"/>
  <c r="E10" i="9"/>
  <c r="F9" i="9"/>
  <c r="E9" i="9"/>
  <c r="F8" i="9"/>
  <c r="E8" i="9"/>
  <c r="J20" i="9" s="1"/>
  <c r="D27" i="8"/>
  <c r="D26" i="8"/>
  <c r="C19" i="8"/>
  <c r="E19" i="8" s="1"/>
  <c r="J10" i="8"/>
  <c r="I10" i="8"/>
  <c r="J9" i="8"/>
  <c r="I9" i="8"/>
  <c r="C21" i="8" s="1"/>
  <c r="J8" i="8"/>
  <c r="I8" i="8"/>
  <c r="J7" i="8"/>
  <c r="I7" i="8"/>
  <c r="C20" i="8" s="1"/>
  <c r="H6" i="8"/>
  <c r="J6" i="8" s="1"/>
  <c r="J5" i="8"/>
  <c r="I5" i="8"/>
  <c r="D24" i="7"/>
  <c r="F24" i="7" s="1"/>
  <c r="H24" i="7" s="1"/>
  <c r="D23" i="7"/>
  <c r="F23" i="7" s="1"/>
  <c r="H23" i="7" s="1"/>
  <c r="D22" i="7"/>
  <c r="F22" i="7" s="1"/>
  <c r="H22" i="7" s="1"/>
  <c r="F18" i="7"/>
  <c r="H18" i="7" s="1"/>
  <c r="D18" i="7"/>
  <c r="D17" i="7"/>
  <c r="F17" i="7" s="1"/>
  <c r="H17" i="7" s="1"/>
  <c r="F16" i="7"/>
  <c r="H16" i="7" s="1"/>
  <c r="D16" i="7"/>
  <c r="D12" i="7"/>
  <c r="F12" i="7" s="1"/>
  <c r="H12" i="7" s="1"/>
  <c r="D11" i="7"/>
  <c r="F11" i="7" s="1"/>
  <c r="H11" i="7" s="1"/>
  <c r="D10" i="7"/>
  <c r="F10" i="7" s="1"/>
  <c r="H10" i="7" s="1"/>
  <c r="E20" i="6"/>
  <c r="C20" i="6"/>
  <c r="E19" i="6"/>
  <c r="C19" i="6"/>
  <c r="E18" i="6"/>
  <c r="C18" i="6"/>
  <c r="E17" i="6"/>
  <c r="C17" i="6"/>
  <c r="B24" i="6" s="1"/>
  <c r="E16" i="6"/>
  <c r="C24" i="6" s="1"/>
  <c r="C16" i="6"/>
  <c r="C25" i="6" s="1"/>
  <c r="B24" i="5"/>
  <c r="B25" i="5" s="1"/>
  <c r="E20" i="5"/>
  <c r="C20" i="5"/>
  <c r="E19" i="5"/>
  <c r="C19" i="5"/>
  <c r="E18" i="5"/>
  <c r="C18" i="5"/>
  <c r="E17" i="5"/>
  <c r="C17" i="5"/>
  <c r="C24" i="5" s="1"/>
  <c r="E16" i="5"/>
  <c r="C16" i="5"/>
  <c r="C25" i="5" s="1"/>
  <c r="C24" i="4"/>
  <c r="E20" i="4"/>
  <c r="C20" i="4"/>
  <c r="E19" i="4"/>
  <c r="C19" i="4"/>
  <c r="E18" i="4"/>
  <c r="C18" i="4"/>
  <c r="E17" i="4"/>
  <c r="C25" i="4" s="1"/>
  <c r="C17" i="4"/>
  <c r="B24" i="4" s="1"/>
  <c r="E16" i="4"/>
  <c r="C16" i="4"/>
  <c r="D16" i="3"/>
  <c r="E24" i="6" s="1"/>
  <c r="F12" i="3"/>
  <c r="E12" i="3"/>
  <c r="F11" i="3"/>
  <c r="E11" i="3"/>
  <c r="F10" i="3"/>
  <c r="E10" i="3"/>
  <c r="C17" i="3" s="1"/>
  <c r="F9" i="3"/>
  <c r="E9" i="3"/>
  <c r="C16" i="3" s="1"/>
  <c r="F8" i="3"/>
  <c r="E8" i="3"/>
  <c r="D17" i="3" s="1"/>
  <c r="E25" i="6" s="1"/>
  <c r="B17" i="2"/>
  <c r="D25" i="5" s="1"/>
  <c r="F12" i="2"/>
  <c r="E12" i="2"/>
  <c r="F11" i="2"/>
  <c r="E11" i="2"/>
  <c r="C17" i="2" s="1"/>
  <c r="F10" i="2"/>
  <c r="E10" i="2"/>
  <c r="D16" i="2" s="1"/>
  <c r="E24" i="5" s="1"/>
  <c r="F9" i="2"/>
  <c r="E9" i="2"/>
  <c r="F8" i="2"/>
  <c r="E8" i="2"/>
  <c r="B16" i="2" s="1"/>
  <c r="C17" i="1"/>
  <c r="F12" i="1"/>
  <c r="E12" i="1"/>
  <c r="F11" i="1"/>
  <c r="E11" i="1"/>
  <c r="D17" i="1" s="1"/>
  <c r="E25" i="4" s="1"/>
  <c r="F10" i="1"/>
  <c r="E10" i="1"/>
  <c r="F9" i="1"/>
  <c r="E9" i="1"/>
  <c r="F8" i="1"/>
  <c r="E8" i="1"/>
  <c r="B17" i="1" s="1"/>
  <c r="D25" i="4" s="1"/>
  <c r="D24" i="5" l="1"/>
  <c r="D26" i="5" s="1"/>
  <c r="E17" i="2"/>
  <c r="C27" i="8"/>
  <c r="E27" i="8" s="1"/>
  <c r="E20" i="8"/>
  <c r="B26" i="6"/>
  <c r="B25" i="6"/>
  <c r="B25" i="4"/>
  <c r="B26" i="4"/>
  <c r="C26" i="8"/>
  <c r="E26" i="8" s="1"/>
  <c r="C25" i="8"/>
  <c r="E25" i="8" s="1"/>
  <c r="E21" i="8"/>
  <c r="D17" i="2"/>
  <c r="E25" i="5" s="1"/>
  <c r="K20" i="9"/>
  <c r="B16" i="1"/>
  <c r="B26" i="5"/>
  <c r="B16" i="9"/>
  <c r="F15" i="9" s="1"/>
  <c r="J21" i="9"/>
  <c r="C16" i="1"/>
  <c r="C16" i="9"/>
  <c r="K21" i="9"/>
  <c r="D16" i="1"/>
  <c r="E24" i="4" s="1"/>
  <c r="C16" i="2"/>
  <c r="B16" i="3"/>
  <c r="B27" i="5"/>
  <c r="I6" i="8"/>
  <c r="D16" i="9"/>
  <c r="J22" i="9"/>
  <c r="B17" i="9"/>
  <c r="B17" i="3"/>
  <c r="D25" i="6" s="1"/>
  <c r="J14" i="9" a="1"/>
  <c r="D17" i="9"/>
  <c r="K18" i="9" l="1"/>
  <c r="K14" i="9"/>
  <c r="K17" i="9"/>
  <c r="J18" i="9"/>
  <c r="J17" i="9"/>
  <c r="K16" i="9"/>
  <c r="J16" i="9"/>
  <c r="K15" i="9"/>
  <c r="J14" i="9"/>
  <c r="J15" i="9"/>
  <c r="D24" i="6"/>
  <c r="E17" i="3"/>
  <c r="E17" i="1"/>
  <c r="D24" i="4"/>
  <c r="D26" i="4" l="1"/>
  <c r="B27" i="4"/>
  <c r="D26" i="6"/>
  <c r="B27" i="6"/>
</calcChain>
</file>

<file path=xl/sharedStrings.xml><?xml version="1.0" encoding="utf-8"?>
<sst xmlns="http://schemas.openxmlformats.org/spreadsheetml/2006/main" count="368" uniqueCount="132">
  <si>
    <t>Static determination of Modified Hooke’s law</t>
  </si>
  <si>
    <t>Red Spring</t>
  </si>
  <si>
    <t>(no entry)</t>
  </si>
  <si>
    <t>(enter your data)</t>
  </si>
  <si>
    <t>Mass M
(no hanger)</t>
  </si>
  <si>
    <t>Bottom lower spring loop
ruler reading</t>
  </si>
  <si>
    <t>Spring
Extension
y</t>
  </si>
  <si>
    <t>Spring force Fs=Mg</t>
  </si>
  <si>
    <t>(g)</t>
  </si>
  <si>
    <t>(cm)</t>
  </si>
  <si>
    <t>(m)</t>
  </si>
  <si>
    <t>(N)</t>
  </si>
  <si>
    <t>//////////</t>
  </si>
  <si>
    <t>Red minimum</t>
  </si>
  <si>
    <t>Red maximum</t>
  </si>
  <si>
    <t>Red Spring Static Least Square Fit Values</t>
  </si>
  <si>
    <t>Nominal Value (+/- 5%)</t>
  </si>
  <si>
    <t>k (N/m)</t>
  </si>
  <si>
    <t>Fi (N)</t>
  </si>
  <si>
    <r>
      <t>R</t>
    </r>
    <r>
      <rPr>
        <b/>
        <vertAlign val="superscript"/>
        <sz val="12"/>
        <color rgb="FF000000"/>
        <rFont val="Calibri"/>
        <family val="2"/>
      </rPr>
      <t>2</t>
    </r>
  </si>
  <si>
    <t>standard errors</t>
  </si>
  <si>
    <t>% dev. from nominal</t>
  </si>
  <si>
    <t>Blue Spring</t>
  </si>
  <si>
    <t>Blue minimum</t>
  </si>
  <si>
    <t>Blue maximum</t>
  </si>
  <si>
    <t>Blue Spring Static Least Square Fit Parameters</t>
  </si>
  <si>
    <t>Green Spring</t>
  </si>
  <si>
    <t>Green minimum</t>
  </si>
  <si>
    <t>Green maximum</t>
  </si>
  <si>
    <t>Green Spring Static Least Square Fit Parameters</t>
  </si>
  <si>
    <t>Dynamic method of measuring k</t>
  </si>
  <si>
    <r>
      <t>Multi point measurement method (</t>
    </r>
    <r>
      <rPr>
        <u/>
        <sz val="11"/>
        <color rgb="FF000000"/>
        <rFont val="Calibri"/>
        <family val="2"/>
      </rPr>
      <t>single spring</t>
    </r>
    <r>
      <rPr>
        <b/>
        <sz val="11"/>
        <color rgb="FF000000"/>
        <rFont val="Calibri"/>
        <family val="2"/>
      </rPr>
      <t>)</t>
    </r>
  </si>
  <si>
    <t>(can enter)</t>
  </si>
  <si>
    <t>Parallel hanger</t>
  </si>
  <si>
    <t>Spring mass</t>
  </si>
  <si>
    <t>mass</t>
  </si>
  <si>
    <t>(kg)</t>
  </si>
  <si>
    <t>←(can enter)</t>
  </si>
  <si>
    <t>(0.027kg nominal)</t>
  </si>
  <si>
    <t>(0.020kg nominal)</t>
  </si>
  <si>
    <t>Data</t>
  </si>
  <si>
    <t>Oscillating mass</t>
  </si>
  <si>
    <t>Hanging mass M
(no hanger)</t>
  </si>
  <si>
    <t>M+mhanger+
mspring/3</t>
  </si>
  <si>
    <t>Measured
Period T</t>
  </si>
  <si>
    <t>Period
T^2</t>
  </si>
  <si>
    <t>(sec)</t>
  </si>
  <si>
    <t>(sec^2)</t>
  </si>
  <si>
    <t>Red Spring Dynamic Fit Values</t>
  </si>
  <si>
    <t>Static Fit Values</t>
  </si>
  <si>
    <t>Nominal Value</t>
  </si>
  <si>
    <t xml:space="preserve"> +/- 5%</t>
  </si>
  <si>
    <t>///////////////</t>
  </si>
  <si>
    <t>///////////</t>
  </si>
  <si>
    <t>/////////</t>
  </si>
  <si>
    <t>% diff. Dynamic &amp; Static</t>
  </si>
  <si>
    <t>/////////////////</t>
  </si>
  <si>
    <t>(0.031kg nominal)</t>
  </si>
  <si>
    <t>Blue Spring Dynamic Fit Values</t>
  </si>
  <si>
    <t>(0.032kg nominal)</t>
  </si>
  <si>
    <t>Green Spring Dynamic Fit Values</t>
  </si>
  <si>
    <t>(selected values)</t>
  </si>
  <si>
    <t>(enter data)</t>
  </si>
  <si>
    <t>Single spring</t>
  </si>
  <si>
    <t>Spring mass
ms</t>
  </si>
  <si>
    <t>Hanging mass M
(w/o hanger)</t>
  </si>
  <si>
    <t>Expt. Spring
Constant
keff</t>
  </si>
  <si>
    <t>Nominal Spring
Constant
keff = k</t>
  </si>
  <si>
    <t>% difference
from
Nominal</t>
  </si>
  <si>
    <t>(N/m)</t>
  </si>
  <si>
    <t>Red</t>
  </si>
  <si>
    <t>Blue</t>
  </si>
  <si>
    <t>Green</t>
  </si>
  <si>
    <t>Parallel springs
(same color)</t>
  </si>
  <si>
    <t>Oscillating mass
M+mhanger+
2*ms/3</t>
  </si>
  <si>
    <t>Nominal Spring
Constant
keff = 2k</t>
  </si>
  <si>
    <t>Series springs
(same color)</t>
  </si>
  <si>
    <t>Nominal Spring
Constant
keff = k/2</t>
  </si>
  <si>
    <t>Pasco ME – 6842 Series / Parallel Spring Set (P19288) station 01</t>
  </si>
  <si>
    <t>Correction</t>
  </si>
  <si>
    <t>(calculated)</t>
  </si>
  <si>
    <t>Factor</t>
  </si>
  <si>
    <t>Spring</t>
  </si>
  <si>
    <t>Spring Constant</t>
  </si>
  <si>
    <t>End Loops</t>
  </si>
  <si>
    <t>Spring Mass</t>
  </si>
  <si>
    <t>Body Length</t>
  </si>
  <si>
    <t>Total Length</t>
  </si>
  <si>
    <t>OD</t>
  </si>
  <si>
    <t>Wire Diameter</t>
  </si>
  <si>
    <t>Number coils</t>
  </si>
  <si>
    <t>0.5*[d/(D-d)]^2</t>
  </si>
  <si>
    <t>Color</t>
  </si>
  <si>
    <t>orientation</t>
  </si>
  <si>
    <t>(mm)</t>
  </si>
  <si>
    <t>Nb</t>
  </si>
  <si>
    <t>2x Red</t>
  </si>
  <si>
    <t>10 N/m +/- 5%</t>
  </si>
  <si>
    <t>parallel</t>
  </si>
  <si>
    <t>perpendicular</t>
  </si>
  <si>
    <t>2x Blue</t>
  </si>
  <si>
    <t>20 N/m +/- 5%</t>
  </si>
  <si>
    <t>2x Green</t>
  </si>
  <si>
    <t>40 N/m +/- 5%</t>
  </si>
  <si>
    <t>Worst case 0.33%</t>
  </si>
  <si>
    <t>Shear Modulus</t>
  </si>
  <si>
    <t>G (Pa)</t>
  </si>
  <si>
    <t>Generic carbon steel is 79.3GPa in the Standard Handbook of Machine Design</t>
  </si>
  <si>
    <r>
      <rPr>
        <sz val="11"/>
        <color rgb="FF000000"/>
        <rFont val="Calibri"/>
        <family val="2"/>
      </rPr>
      <t xml:space="preserve">and </t>
    </r>
    <r>
      <rPr>
        <b/>
        <sz val="11"/>
        <color rgb="FF000000"/>
        <rFont val="Calibri"/>
        <family val="2"/>
      </rPr>
      <t>https://en.wikipedia.org/wiki/Shear_modulus</t>
    </r>
  </si>
  <si>
    <t>(calculated)*</t>
  </si>
  <si>
    <t>(nominal)</t>
  </si>
  <si>
    <t>(meas. Static)</t>
  </si>
  <si>
    <t>Spring Color</t>
  </si>
  <si>
    <t>k( N/m)</t>
  </si>
  <si>
    <t>% difference</t>
  </si>
  <si>
    <t>Ratio of k values</t>
  </si>
  <si>
    <t>calculated</t>
  </si>
  <si>
    <t>ideal</t>
  </si>
  <si>
    <t>Green/red</t>
  </si>
  <si>
    <t>Green/blue</t>
  </si>
  <si>
    <t>Blue/red</t>
  </si>
  <si>
    <t>*Using mean coil diameter (OD – wire diameter) markedly improves agreement</t>
  </si>
  <si>
    <t>Increases the value of k to use.  Ratios still decent, within 7% worst case.</t>
  </si>
  <si>
    <t>Spring
Extension
x</t>
  </si>
  <si>
    <t>Red Spring Least Square Fit Parameters</t>
  </si>
  <si>
    <t>nominal value</t>
  </si>
  <si>
    <t>dev. from nominal</t>
  </si>
  <si>
    <t>std errors</t>
  </si>
  <si>
    <t>Ideal
Stretch
(m)</t>
  </si>
  <si>
    <t>Ideal
Force
(N)</t>
  </si>
  <si>
    <t>Oscillating mass
M+mhanger+
ms/3</t>
  </si>
  <si>
    <r>
      <t>Single measurement method (</t>
    </r>
    <r>
      <rPr>
        <b/>
        <u/>
        <sz val="11"/>
        <color rgb="FF000000"/>
        <rFont val="Calibri"/>
        <family val="2"/>
      </rPr>
      <t>single spring, parallel springs, series springs)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</si>
</sst>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"/>
    <numFmt numFmtId="165" formatCode="0.00000"/>
    <numFmt numFmtId="166" formatCode="#,##0.000000"/>
    <numFmt numFmtId="167" formatCode="#,##0.00000"/>
    <numFmt numFmtId="168" formatCode="0.0"/>
    <numFmt numFmtId="169" formatCode="0.0000"/>
    <numFmt numFmtId="170" formatCode="#,##0.000"/>
    <numFmt numFmtId="171" formatCode="0.0000E+00"/>
  </numFmts>
  <fonts count="1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vertAlign val="superscript"/>
      <sz val="12"/>
      <color rgb="FF000000"/>
      <name val="Calibri"/>
      <family val="2"/>
    </font>
    <font>
      <u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1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6D6D"/>
        <bgColor rgb="FFFF6D6D"/>
      </patternFill>
    </fill>
    <fill>
      <patternFill patternType="solid">
        <fgColor rgb="FFFFFF00"/>
        <bgColor rgb="FFFFFF00"/>
      </patternFill>
    </fill>
    <fill>
      <patternFill patternType="solid">
        <fgColor rgb="FFFFFF38"/>
        <bgColor rgb="FFFFFF38"/>
      </patternFill>
    </fill>
    <fill>
      <patternFill patternType="solid">
        <fgColor rgb="FF7DB5E3"/>
        <bgColor rgb="FF729FCF"/>
      </patternFill>
    </fill>
    <fill>
      <patternFill patternType="solid">
        <fgColor rgb="FFFFFF00"/>
        <bgColor indexed="64"/>
      </patternFill>
    </fill>
    <fill>
      <patternFill patternType="solid">
        <fgColor rgb="FF81DB83"/>
        <bgColor rgb="FF77BC65"/>
      </patternFill>
    </fill>
    <fill>
      <patternFill patternType="solid">
        <fgColor rgb="FFFFFF00"/>
        <bgColor rgb="FFFFF200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4" fillId="0" borderId="0"/>
  </cellStyleXfs>
  <cellXfs count="62">
    <xf numFmtId="0" fontId="0" fillId="0" borderId="0" xfId="0"/>
    <xf numFmtId="0" fontId="0" fillId="0" borderId="2" xfId="0" applyBorder="1"/>
    <xf numFmtId="0" fontId="14" fillId="0" borderId="2" xfId="0" applyFont="1" applyBorder="1"/>
    <xf numFmtId="0" fontId="14" fillId="9" borderId="2" xfId="0" applyFont="1" applyFill="1" applyBorder="1"/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170" fontId="14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67" fontId="14" fillId="9" borderId="2" xfId="0" applyNumberFormat="1" applyFont="1" applyFill="1" applyBorder="1" applyAlignment="1">
      <alignment horizontal="center"/>
    </xf>
    <xf numFmtId="165" fontId="14" fillId="9" borderId="2" xfId="0" applyNumberFormat="1" applyFont="1" applyFill="1" applyBorder="1" applyAlignment="1">
      <alignment horizontal="center"/>
    </xf>
    <xf numFmtId="0" fontId="0" fillId="0" borderId="3" xfId="0" applyBorder="1"/>
    <xf numFmtId="167" fontId="14" fillId="0" borderId="2" xfId="0" applyNumberFormat="1" applyFont="1" applyBorder="1" applyAlignment="1">
      <alignment horizontal="center"/>
    </xf>
    <xf numFmtId="165" fontId="14" fillId="0" borderId="2" xfId="0" applyNumberFormat="1" applyFont="1" applyBorder="1" applyAlignment="1">
      <alignment horizontal="center"/>
    </xf>
    <xf numFmtId="10" fontId="14" fillId="0" borderId="2" xfId="0" applyNumberFormat="1" applyFont="1" applyBorder="1" applyAlignment="1">
      <alignment horizontal="center"/>
    </xf>
    <xf numFmtId="0" fontId="0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0" fillId="0" borderId="4" xfId="0" applyBorder="1"/>
    <xf numFmtId="0" fontId="14" fillId="9" borderId="2" xfId="0" applyFont="1" applyFill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right"/>
    </xf>
    <xf numFmtId="166" fontId="14" fillId="9" borderId="2" xfId="0" applyNumberFormat="1" applyFont="1" applyFill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Protection="1"/>
    <xf numFmtId="0" fontId="14" fillId="11" borderId="2" xfId="0" applyFont="1" applyFill="1" applyBorder="1" applyAlignment="1">
      <alignment horizontal="center"/>
    </xf>
    <xf numFmtId="169" fontId="14" fillId="0" borderId="2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9" borderId="2" xfId="0" applyFill="1" applyBorder="1" applyAlignment="1">
      <alignment horizontal="center"/>
    </xf>
    <xf numFmtId="0" fontId="14" fillId="0" borderId="2" xfId="0" applyFont="1" applyBorder="1" applyAlignment="1">
      <alignment horizontal="left"/>
    </xf>
    <xf numFmtId="2" fontId="14" fillId="0" borderId="2" xfId="0" applyNumberFormat="1" applyFont="1" applyBorder="1" applyAlignment="1">
      <alignment horizontal="center"/>
    </xf>
    <xf numFmtId="171" fontId="0" fillId="0" borderId="0" xfId="0" applyNumberFormat="1" applyAlignment="1">
      <alignment horizontal="center"/>
    </xf>
    <xf numFmtId="168" fontId="14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10" fontId="0" fillId="0" borderId="0" xfId="0" applyNumberFormat="1" applyAlignment="1">
      <alignment horizontal="center"/>
    </xf>
    <xf numFmtId="167" fontId="14" fillId="12" borderId="2" xfId="0" applyNumberFormat="1" applyFont="1" applyFill="1" applyBorder="1" applyAlignment="1">
      <alignment horizontal="center"/>
    </xf>
    <xf numFmtId="165" fontId="14" fillId="12" borderId="2" xfId="0" applyNumberFormat="1" applyFont="1" applyFill="1" applyBorder="1" applyAlignment="1">
      <alignment horizontal="center"/>
    </xf>
    <xf numFmtId="0" fontId="14" fillId="12" borderId="2" xfId="0" applyFont="1" applyFill="1" applyBorder="1"/>
    <xf numFmtId="0" fontId="14" fillId="14" borderId="2" xfId="0" applyFont="1" applyFill="1" applyBorder="1"/>
    <xf numFmtId="167" fontId="14" fillId="14" borderId="2" xfId="0" applyNumberFormat="1" applyFont="1" applyFill="1" applyBorder="1" applyAlignment="1">
      <alignment horizontal="center"/>
    </xf>
    <xf numFmtId="165" fontId="14" fillId="14" borderId="2" xfId="0" applyNumberFormat="1" applyFont="1" applyFill="1" applyBorder="1" applyAlignment="1">
      <alignment horizontal="center"/>
    </xf>
    <xf numFmtId="0" fontId="17" fillId="15" borderId="2" xfId="0" applyFont="1" applyFill="1" applyBorder="1" applyAlignment="1">
      <alignment horizontal="center"/>
    </xf>
    <xf numFmtId="0" fontId="17" fillId="15" borderId="2" xfId="0" applyFont="1" applyFill="1" applyBorder="1" applyAlignment="1">
      <alignment horizontal="center" wrapText="1"/>
    </xf>
    <xf numFmtId="0" fontId="14" fillId="14" borderId="2" xfId="0" applyFont="1" applyFill="1" applyBorder="1" applyAlignment="1">
      <alignment horizontal="center"/>
    </xf>
    <xf numFmtId="166" fontId="14" fillId="14" borderId="2" xfId="0" applyNumberFormat="1" applyFont="1" applyFill="1" applyBorder="1" applyAlignment="1">
      <alignment horizontal="center"/>
    </xf>
    <xf numFmtId="0" fontId="14" fillId="12" borderId="2" xfId="0" applyFont="1" applyFill="1" applyBorder="1"/>
    <xf numFmtId="0" fontId="14" fillId="14" borderId="2" xfId="0" applyFont="1" applyFill="1" applyBorder="1" applyAlignment="1">
      <alignment horizontal="center"/>
    </xf>
    <xf numFmtId="0" fontId="14" fillId="12" borderId="2" xfId="0" applyFont="1" applyFill="1" applyBorder="1" applyAlignment="1">
      <alignment horizontal="center"/>
    </xf>
    <xf numFmtId="166" fontId="14" fillId="12" borderId="2" xfId="0" applyNumberFormat="1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14" fillId="13" borderId="2" xfId="0" applyFont="1" applyFill="1" applyBorder="1"/>
    <xf numFmtId="0" fontId="14" fillId="9" borderId="2" xfId="0" applyFont="1" applyFill="1" applyBorder="1"/>
    <xf numFmtId="0" fontId="14" fillId="0" borderId="2" xfId="0" applyFont="1" applyFill="1" applyBorder="1"/>
    <xf numFmtId="0" fontId="14" fillId="12" borderId="2" xfId="0" applyFont="1" applyFill="1" applyBorder="1"/>
    <xf numFmtId="0" fontId="14" fillId="10" borderId="2" xfId="0" applyFont="1" applyFill="1" applyBorder="1"/>
    <xf numFmtId="0" fontId="14" fillId="9" borderId="2" xfId="0" applyFont="1" applyFill="1" applyBorder="1" applyAlignment="1">
      <alignment horizontal="center"/>
    </xf>
    <xf numFmtId="0" fontId="14" fillId="12" borderId="2" xfId="0" applyFont="1" applyFill="1" applyBorder="1" applyAlignment="1">
      <alignment horizontal="center"/>
    </xf>
    <xf numFmtId="0" fontId="14" fillId="14" borderId="2" xfId="0" applyFont="1" applyFill="1" applyBorder="1"/>
    <xf numFmtId="0" fontId="14" fillId="14" borderId="2" xfId="0" applyFont="1" applyFill="1" applyBorder="1" applyAlignment="1">
      <alignment horizontal="center"/>
    </xf>
    <xf numFmtId="0" fontId="14" fillId="15" borderId="2" xfId="0" applyFont="1" applyFill="1" applyBorder="1" applyAlignment="1">
      <alignment horizontal="left"/>
    </xf>
  </cellXfs>
  <cellStyles count="18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Footnote" xfId="12" xr:uid="{00000000-0005-0000-0000-000006000000}"/>
    <cellStyle name="Good" xfId="3" builtinId="26" customBuiltin="1"/>
    <cellStyle name="Heading" xfId="13" xr:uid="{00000000-0005-0000-0000-000008000000}"/>
    <cellStyle name="Heading 1" xfId="1" builtinId="16" customBuiltin="1"/>
    <cellStyle name="Heading 2" xfId="2" builtinId="17" customBuiltin="1"/>
    <cellStyle name="Hyperlink" xfId="14" xr:uid="{00000000-0005-0000-0000-00000B000000}"/>
    <cellStyle name="Neutral" xfId="5" builtinId="28" customBuiltin="1"/>
    <cellStyle name="Normal" xfId="0" builtinId="0" customBuiltin="1"/>
    <cellStyle name="Note" xfId="6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colors>
    <mruColors>
      <color rgb="FF7DB5E3"/>
      <color rgb="FF81DB83"/>
      <color rgb="FF729FCF"/>
      <color rgb="FF98B5E3"/>
      <color rgb="FFA988FC"/>
      <color rgb="FF000000"/>
      <color rgb="FF95E196"/>
      <color rgb="FFFF6D6D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200" b="0" baseline="0">
                <a:latin typeface="Arial"/>
              </a:defRPr>
            </a:pPr>
            <a:r>
              <a:rPr lang="en-US"/>
              <a:t>Spring force vs Elongation (red spring)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6753507014028058E-2"/>
          <c:y val="0.12737368128817322"/>
          <c:w val="0.92088176352705409"/>
          <c:h val="0.75569128262076624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FF6D6D"/>
              </a:solidFill>
              <a:ln>
                <a:solidFill>
                  <a:srgbClr val="FF6D6D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0410-435C-89E4-38B3177795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0410-435C-89E4-38B3177795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0410-435C-89E4-38B31777953F}"/>
              </c:ext>
            </c:extLst>
          </c:dPt>
          <c:trendline>
            <c:spPr>
              <a:ln w="18360">
                <a:solidFill>
                  <a:srgbClr val="FF6D6D"/>
                </a:solidFill>
              </a:ln>
            </c:spPr>
            <c:trendlineType val="linear"/>
            <c:backward val="1.2000000000000002E-2"/>
            <c:dispRSqr val="1"/>
            <c:dispEq val="1"/>
            <c:trendlineLbl>
              <c:layout>
                <c:manualLayout>
                  <c:x val="-0.33746019599367288"/>
                  <c:y val="1.4587137922398963E-2"/>
                </c:manualLayout>
              </c:layout>
              <c:numFmt formatCode="0.00000" sourceLinked="0"/>
              <c:txPr>
                <a:bodyPr/>
                <a:lstStyle/>
                <a:p>
                  <a:pPr>
                    <a:defRPr b="0" baseline="0"/>
                  </a:pPr>
                  <a:endParaRPr lang="en-US"/>
                </a:p>
              </c:txPr>
            </c:trendlineLbl>
          </c:trendline>
          <c:xVal>
            <c:numRef>
              <c:f>'Red static values'!$E$8:$E$12</c:f>
              <c:numCache>
                <c:formatCode>General</c:formatCode>
                <c:ptCount val="5"/>
                <c:pt idx="0">
                  <c:v>1.3999999999999986E-2</c:v>
                </c:pt>
                <c:pt idx="1">
                  <c:v>6.3999999999999987E-2</c:v>
                </c:pt>
                <c:pt idx="2">
                  <c:v>0.11299999999999998</c:v>
                </c:pt>
                <c:pt idx="3">
                  <c:v>0.16200000000000003</c:v>
                </c:pt>
                <c:pt idx="4">
                  <c:v>0.21099999999999994</c:v>
                </c:pt>
              </c:numCache>
            </c:numRef>
          </c:xVal>
          <c:yVal>
            <c:numRef>
              <c:f>'Red static values'!$F$8:$F$12</c:f>
              <c:numCache>
                <c:formatCode>#,##0.000</c:formatCode>
                <c:ptCount val="5"/>
                <c:pt idx="0">
                  <c:v>0.98000000000000009</c:v>
                </c:pt>
                <c:pt idx="1">
                  <c:v>1.47</c:v>
                </c:pt>
                <c:pt idx="2">
                  <c:v>1.9600000000000002</c:v>
                </c:pt>
                <c:pt idx="3">
                  <c:v>2.4500000000000002</c:v>
                </c:pt>
                <c:pt idx="4">
                  <c:v>2.94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2B-405D-9DF0-6AD4A28E30A5}"/>
            </c:ext>
          </c:extLst>
        </c:ser>
        <c:ser>
          <c:idx val="1"/>
          <c:order val="1"/>
          <c:spPr>
            <a:ln>
              <a:noFill/>
            </a:ln>
          </c:spPr>
          <c:marker>
            <c:symbol val="diamond"/>
            <c:size val="8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4-0410-435C-89E4-38B31777953F}"/>
              </c:ext>
            </c:extLst>
          </c:dPt>
          <c:trendline>
            <c:spPr>
              <a:ln w="18360">
                <a:solidFill>
                  <a:srgbClr val="00A933"/>
                </a:solidFill>
              </a:ln>
            </c:spPr>
            <c:trendlineType val="linear"/>
            <c:dispRSqr val="0"/>
            <c:dispEq val="0"/>
          </c:trendline>
          <c:xVal>
            <c:numRef>
              <c:f>'Red static values'!$E$20:$E$21</c:f>
              <c:numCache>
                <c:formatCode>General</c:formatCode>
                <c:ptCount val="2"/>
              </c:numCache>
            </c:numRef>
          </c:xVal>
          <c:yVal>
            <c:numRef>
              <c:f>'Red static values'!$F$20:$F$21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02B-405D-9DF0-6AD4A28E3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5712752"/>
        <c:axId val="1045711088"/>
      </c:scatterChart>
      <c:valAx>
        <c:axId val="1045711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baseline="0">
                    <a:latin typeface="Arial"/>
                  </a:defRPr>
                </a:pPr>
                <a:r>
                  <a:rPr lang="en-US"/>
                  <a:t>Spring Force Fs (N)</a:t>
                </a:r>
              </a:p>
            </c:rich>
          </c:tx>
          <c:overlay val="0"/>
        </c:title>
        <c:numFmt formatCode="General" sourceLinked="0"/>
        <c:majorTickMark val="in"/>
        <c:minorTickMark val="in"/>
        <c:tickLblPos val="nextTo"/>
        <c:txPr>
          <a:bodyPr/>
          <a:lstStyle/>
          <a:p>
            <a:pPr>
              <a:defRPr sz="1000" b="0" baseline="0">
                <a:latin typeface="Arial"/>
              </a:defRPr>
            </a:pPr>
            <a:endParaRPr lang="en-US"/>
          </a:p>
        </c:txPr>
        <c:crossAx val="1045712752"/>
        <c:crossesAt val="0"/>
        <c:crossBetween val="midCat"/>
      </c:valAx>
      <c:valAx>
        <c:axId val="1045712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baseline="0">
                    <a:latin typeface="Arial"/>
                  </a:defRPr>
                </a:pPr>
                <a:r>
                  <a:rPr lang="en-US"/>
                  <a:t>Elongation y (m)</a:t>
                </a:r>
              </a:p>
            </c:rich>
          </c:tx>
          <c:overlay val="0"/>
        </c:title>
        <c:numFmt formatCode="General" sourceLinked="0"/>
        <c:majorTickMark val="in"/>
        <c:minorTickMark val="in"/>
        <c:tickLblPos val="nextTo"/>
        <c:txPr>
          <a:bodyPr/>
          <a:lstStyle/>
          <a:p>
            <a:pPr>
              <a:defRPr sz="1000" b="0" baseline="0">
                <a:latin typeface="Arial"/>
              </a:defRPr>
            </a:pPr>
            <a:endParaRPr lang="en-US"/>
          </a:p>
        </c:txPr>
        <c:crossAx val="1045711088"/>
        <c:crossesAt val="0"/>
        <c:crossBetween val="midCat"/>
      </c:valAx>
      <c:spPr>
        <a:noFill/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200" b="0" baseline="0">
                <a:latin typeface="Arial"/>
              </a:defRPr>
            </a:pPr>
            <a:r>
              <a:rPr lang="en-US"/>
              <a:t>Spring force vs Elongation (blue spring)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6753507014028058E-2"/>
          <c:y val="0.12737368128817322"/>
          <c:w val="0.92088176352705409"/>
          <c:h val="0.75569128262076624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6420-4188-BEBF-84E3B98640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6420-4188-BEBF-84E3B98640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6420-4188-BEBF-84E3B9864042}"/>
              </c:ext>
            </c:extLst>
          </c:dPt>
          <c:trendline>
            <c:spPr>
              <a:ln w="18360">
                <a:solidFill>
                  <a:srgbClr val="004586"/>
                </a:solidFill>
              </a:ln>
            </c:spPr>
            <c:trendlineType val="linear"/>
            <c:backward val="1.5000000000000003E-2"/>
            <c:dispRSqr val="1"/>
            <c:dispEq val="1"/>
            <c:trendlineLbl>
              <c:layout>
                <c:manualLayout>
                  <c:x val="-0.3164222172679233"/>
                  <c:y val="2.6524803532635949E-2"/>
                </c:manualLayout>
              </c:layout>
              <c:numFmt formatCode="0.00000" sourceLinked="0"/>
              <c:txPr>
                <a:bodyPr/>
                <a:lstStyle/>
                <a:p>
                  <a:pPr>
                    <a:defRPr b="0" baseline="0"/>
                  </a:pPr>
                  <a:endParaRPr lang="en-US"/>
                </a:p>
              </c:txPr>
            </c:trendlineLbl>
          </c:trendline>
          <c:xVal>
            <c:numRef>
              <c:f>'Blue static values'!$E$8:$E$12</c:f>
              <c:numCache>
                <c:formatCode>General</c:formatCode>
                <c:ptCount val="5"/>
                <c:pt idx="0">
                  <c:v>1.6999999999999956E-2</c:v>
                </c:pt>
                <c:pt idx="1">
                  <c:v>4.1999999999999954E-2</c:v>
                </c:pt>
                <c:pt idx="2">
                  <c:v>6.6999999999999962E-2</c:v>
                </c:pt>
                <c:pt idx="3">
                  <c:v>9.1999999999999957E-2</c:v>
                </c:pt>
                <c:pt idx="4">
                  <c:v>0.11699999999999995</c:v>
                </c:pt>
              </c:numCache>
            </c:numRef>
          </c:xVal>
          <c:yVal>
            <c:numRef>
              <c:f>'Blue static values'!$F$8:$F$12</c:f>
              <c:numCache>
                <c:formatCode>#,##0.000</c:formatCode>
                <c:ptCount val="5"/>
                <c:pt idx="0">
                  <c:v>1.47</c:v>
                </c:pt>
                <c:pt idx="1">
                  <c:v>1.9600000000000002</c:v>
                </c:pt>
                <c:pt idx="2">
                  <c:v>2.4500000000000002</c:v>
                </c:pt>
                <c:pt idx="3">
                  <c:v>2.94</c:v>
                </c:pt>
                <c:pt idx="4">
                  <c:v>3.4300000000000006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43-4FD2-AECF-D30A262D3823}"/>
            </c:ext>
          </c:extLst>
        </c:ser>
        <c:ser>
          <c:idx val="1"/>
          <c:order val="1"/>
          <c:spPr>
            <a:ln>
              <a:noFill/>
            </a:ln>
          </c:spPr>
          <c:marker>
            <c:symbol val="diamond"/>
            <c:size val="8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4-6420-4188-BEBF-84E3B9864042}"/>
              </c:ext>
            </c:extLst>
          </c:dPt>
          <c:trendline>
            <c:spPr>
              <a:ln w="18360">
                <a:solidFill>
                  <a:srgbClr val="00A933"/>
                </a:solidFill>
              </a:ln>
            </c:spPr>
            <c:trendlineType val="linear"/>
            <c:dispRSqr val="0"/>
            <c:dispEq val="0"/>
          </c:trendline>
          <c:xVal>
            <c:numRef>
              <c:f>'Blue static values'!$E$20:$E$21</c:f>
              <c:numCache>
                <c:formatCode>General</c:formatCode>
                <c:ptCount val="2"/>
              </c:numCache>
            </c:numRef>
          </c:xVal>
          <c:yVal>
            <c:numRef>
              <c:f>'Blue static values'!$F$20:$F$21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543-4FD2-AECF-D30A262D3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5714000"/>
        <c:axId val="1045713168"/>
      </c:scatterChart>
      <c:valAx>
        <c:axId val="1045713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baseline="0">
                    <a:latin typeface="Arial"/>
                  </a:defRPr>
                </a:pPr>
                <a:r>
                  <a:rPr lang="en-US"/>
                  <a:t>Spring Force Fs (N)</a:t>
                </a:r>
              </a:p>
            </c:rich>
          </c:tx>
          <c:overlay val="0"/>
        </c:title>
        <c:numFmt formatCode="General" sourceLinked="0"/>
        <c:majorTickMark val="in"/>
        <c:minorTickMark val="in"/>
        <c:tickLblPos val="nextTo"/>
        <c:txPr>
          <a:bodyPr/>
          <a:lstStyle/>
          <a:p>
            <a:pPr>
              <a:defRPr sz="1000" b="0" baseline="0">
                <a:latin typeface="Arial"/>
              </a:defRPr>
            </a:pPr>
            <a:endParaRPr lang="en-US"/>
          </a:p>
        </c:txPr>
        <c:crossAx val="1045714000"/>
        <c:crossesAt val="0"/>
        <c:crossBetween val="midCat"/>
      </c:valAx>
      <c:valAx>
        <c:axId val="104571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baseline="0">
                    <a:latin typeface="Arial"/>
                  </a:defRPr>
                </a:pPr>
                <a:r>
                  <a:rPr lang="en-US"/>
                  <a:t>Elongation y (m)</a:t>
                </a:r>
              </a:p>
            </c:rich>
          </c:tx>
          <c:overlay val="0"/>
        </c:title>
        <c:numFmt formatCode="General" sourceLinked="0"/>
        <c:majorTickMark val="in"/>
        <c:minorTickMark val="in"/>
        <c:tickLblPos val="nextTo"/>
        <c:txPr>
          <a:bodyPr/>
          <a:lstStyle/>
          <a:p>
            <a:pPr>
              <a:defRPr sz="1000" b="0" baseline="0">
                <a:latin typeface="Arial"/>
              </a:defRPr>
            </a:pPr>
            <a:endParaRPr lang="en-US"/>
          </a:p>
        </c:txPr>
        <c:crossAx val="1045713168"/>
        <c:crossesAt val="0"/>
        <c:crossBetween val="midCat"/>
      </c:valAx>
      <c:spPr>
        <a:noFill/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200" b="0" baseline="0">
                <a:latin typeface="Arial"/>
              </a:defRPr>
            </a:pPr>
            <a:r>
              <a:rPr lang="en-US"/>
              <a:t>Spring force vs Elongation (green) spring)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6673346693386778E-2"/>
          <c:y val="0.12737368128817322"/>
          <c:w val="0.92088176352705409"/>
          <c:h val="0.75569128262076624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81DB83"/>
              </a:solidFill>
              <a:ln>
                <a:noFill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6F71-4EF4-A143-8FDA4F2EEE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6F71-4EF4-A143-8FDA4F2EEE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6F71-4EF4-A143-8FDA4F2EEE25}"/>
              </c:ext>
            </c:extLst>
          </c:dPt>
          <c:trendline>
            <c:spPr>
              <a:ln w="18360">
                <a:solidFill>
                  <a:srgbClr val="77BC65"/>
                </a:solidFill>
              </a:ln>
            </c:spPr>
            <c:trendlineType val="linear"/>
            <c:backward val="1.3000000000000003E-2"/>
            <c:dispRSqr val="1"/>
            <c:dispEq val="1"/>
            <c:trendlineLbl>
              <c:layout>
                <c:manualLayout>
                  <c:x val="-0.34521730067895606"/>
                  <c:y val="3.1696917861505913E-2"/>
                </c:manualLayout>
              </c:layout>
              <c:numFmt formatCode="0.00000" sourceLinked="0"/>
              <c:txPr>
                <a:bodyPr/>
                <a:lstStyle/>
                <a:p>
                  <a:pPr>
                    <a:defRPr b="0" baseline="0"/>
                  </a:pPr>
                  <a:endParaRPr lang="en-US"/>
                </a:p>
              </c:txPr>
            </c:trendlineLbl>
          </c:trendline>
          <c:xVal>
            <c:numRef>
              <c:f>'Green static values'!$E$8:$E$12</c:f>
              <c:numCache>
                <c:formatCode>General</c:formatCode>
                <c:ptCount val="5"/>
                <c:pt idx="0">
                  <c:v>1.4000000000000058E-2</c:v>
                </c:pt>
                <c:pt idx="1">
                  <c:v>2.6000000000000013E-2</c:v>
                </c:pt>
                <c:pt idx="2">
                  <c:v>3.9000000000000055E-2</c:v>
                </c:pt>
                <c:pt idx="3">
                  <c:v>0.05</c:v>
                </c:pt>
                <c:pt idx="4">
                  <c:v>6.1000000000000013E-2</c:v>
                </c:pt>
              </c:numCache>
            </c:numRef>
          </c:xVal>
          <c:yVal>
            <c:numRef>
              <c:f>'Green static values'!$F$8:$F$12</c:f>
              <c:numCache>
                <c:formatCode>#,##0.000</c:formatCode>
                <c:ptCount val="5"/>
                <c:pt idx="0">
                  <c:v>1.9600000000000002</c:v>
                </c:pt>
                <c:pt idx="1">
                  <c:v>2.4500000000000002</c:v>
                </c:pt>
                <c:pt idx="2">
                  <c:v>2.94</c:v>
                </c:pt>
                <c:pt idx="3">
                  <c:v>3.4300000000000006</c:v>
                </c:pt>
                <c:pt idx="4">
                  <c:v>3.9200000000000004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68-4D04-8B93-23A4E12BC13A}"/>
            </c:ext>
          </c:extLst>
        </c:ser>
        <c:ser>
          <c:idx val="1"/>
          <c:order val="1"/>
          <c:spPr>
            <a:ln>
              <a:noFill/>
            </a:ln>
          </c:spPr>
          <c:marker>
            <c:symbol val="diamond"/>
            <c:size val="8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4-6F71-4EF4-A143-8FDA4F2EEE25}"/>
              </c:ext>
            </c:extLst>
          </c:dPt>
          <c:trendline>
            <c:spPr>
              <a:ln w="18360">
                <a:solidFill>
                  <a:srgbClr val="00A933"/>
                </a:solidFill>
              </a:ln>
            </c:spPr>
            <c:trendlineType val="linear"/>
            <c:dispRSqr val="0"/>
            <c:dispEq val="0"/>
          </c:trendline>
          <c:xVal>
            <c:numRef>
              <c:f>'Green static values'!$E$20:$E$21</c:f>
              <c:numCache>
                <c:formatCode>General</c:formatCode>
                <c:ptCount val="2"/>
              </c:numCache>
            </c:numRef>
          </c:xVal>
          <c:yVal>
            <c:numRef>
              <c:f>'Green static values'!$F$20:$F$21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168-4D04-8B93-23A4E12BC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5715248"/>
        <c:axId val="1045709008"/>
      </c:scatterChart>
      <c:valAx>
        <c:axId val="10457090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baseline="0">
                    <a:latin typeface="Arial"/>
                  </a:defRPr>
                </a:pPr>
                <a:r>
                  <a:rPr lang="en-US"/>
                  <a:t>Spring Force Fs (N)</a:t>
                </a:r>
              </a:p>
            </c:rich>
          </c:tx>
          <c:overlay val="0"/>
        </c:title>
        <c:numFmt formatCode="General" sourceLinked="0"/>
        <c:majorTickMark val="in"/>
        <c:minorTickMark val="in"/>
        <c:tickLblPos val="nextTo"/>
        <c:txPr>
          <a:bodyPr/>
          <a:lstStyle/>
          <a:p>
            <a:pPr>
              <a:defRPr sz="1000" b="0" baseline="0">
                <a:latin typeface="Arial"/>
              </a:defRPr>
            </a:pPr>
            <a:endParaRPr lang="en-US"/>
          </a:p>
        </c:txPr>
        <c:crossAx val="1045715248"/>
        <c:crossesAt val="0"/>
        <c:crossBetween val="midCat"/>
      </c:valAx>
      <c:valAx>
        <c:axId val="104571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baseline="0">
                    <a:latin typeface="Arial"/>
                  </a:defRPr>
                </a:pPr>
                <a:r>
                  <a:rPr lang="en-US"/>
                  <a:t>Elongation y (m)</a:t>
                </a:r>
              </a:p>
            </c:rich>
          </c:tx>
          <c:layout>
            <c:manualLayout>
              <c:xMode val="edge"/>
              <c:yMode val="edge"/>
              <c:x val="0.42396793587174353"/>
              <c:y val="0.90305385896724044"/>
            </c:manualLayout>
          </c:layout>
          <c:overlay val="0"/>
        </c:title>
        <c:numFmt formatCode="General" sourceLinked="0"/>
        <c:majorTickMark val="in"/>
        <c:minorTickMark val="in"/>
        <c:tickLblPos val="nextTo"/>
        <c:txPr>
          <a:bodyPr/>
          <a:lstStyle/>
          <a:p>
            <a:pPr>
              <a:defRPr sz="1000" b="0" baseline="0">
                <a:latin typeface="Arial"/>
              </a:defRPr>
            </a:pPr>
            <a:endParaRPr lang="en-US"/>
          </a:p>
        </c:txPr>
        <c:crossAx val="1045709008"/>
        <c:crossesAt val="0"/>
        <c:crossBetween val="midCat"/>
      </c:valAx>
      <c:spPr>
        <a:noFill/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300" b="0"/>
            </a:pPr>
            <a:r>
              <a:rPr lang="en-US"/>
              <a:t>Period squared vs. Oscillating mass (red spring)</a:t>
            </a:r>
          </a:p>
        </c:rich>
      </c:tx>
      <c:layout>
        <c:manualLayout>
          <c:xMode val="edge"/>
          <c:yMode val="edge"/>
          <c:x val="0.10944170771756979"/>
          <c:y val="4.2593246264266388E-2"/>
        </c:manualLayout>
      </c:layout>
      <c:overlay val="0"/>
    </c:title>
    <c:autoTitleDeleted val="0"/>
    <c:plotArea>
      <c:layout>
        <c:manualLayout>
          <c:xMode val="edge"/>
          <c:yMode val="edge"/>
          <c:x val="7.6354679802955669E-2"/>
          <c:y val="0.17625603012119073"/>
          <c:w val="0.89507389162561568"/>
          <c:h val="0.72373220378868097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FF6D6D">
                  <a:alpha val="94000"/>
                </a:srgbClr>
              </a:solidFill>
              <a:ln>
                <a:noFill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32-4101-A710-A6156E792EE3}"/>
              </c:ext>
            </c:extLst>
          </c:dPt>
          <c:trendline>
            <c:spPr>
              <a:ln w="18360">
                <a:solidFill>
                  <a:srgbClr val="FF6D6D"/>
                </a:solidFill>
              </a:ln>
            </c:spPr>
            <c:trendlineType val="linear"/>
            <c:backward val="0.125"/>
            <c:intercept val="0"/>
            <c:dispRSqr val="1"/>
            <c:dispEq val="1"/>
            <c:trendlineLbl>
              <c:layout>
                <c:manualLayout>
                  <c:x val="-0.32205240373869293"/>
                  <c:y val="1.6414850049177868E-2"/>
                </c:manualLayout>
              </c:layout>
              <c:numFmt formatCode="0.000000" sourceLinked="0"/>
              <c:txPr>
                <a:bodyPr/>
                <a:lstStyle/>
                <a:p>
                  <a:pPr>
                    <a:defRPr b="0" baseline="0"/>
                  </a:pPr>
                  <a:endParaRPr lang="en-US"/>
                </a:p>
              </c:txPr>
            </c:trendlineLbl>
          </c:trendline>
          <c:xVal>
            <c:numRef>
              <c:f>'Red dynamic multipoint'!$C$16:$C$20</c:f>
              <c:numCache>
                <c:formatCode>0.00000</c:formatCode>
                <c:ptCount val="5"/>
                <c:pt idx="0">
                  <c:v>0.129</c:v>
                </c:pt>
                <c:pt idx="1">
                  <c:v>0.17899999999999999</c:v>
                </c:pt>
                <c:pt idx="2">
                  <c:v>0.22900000000000001</c:v>
                </c:pt>
                <c:pt idx="3">
                  <c:v>0.27900000000000003</c:v>
                </c:pt>
                <c:pt idx="4">
                  <c:v>0.32900000000000001</c:v>
                </c:pt>
              </c:numCache>
            </c:numRef>
          </c:xVal>
          <c:yVal>
            <c:numRef>
              <c:f>'Red dynamic multipoint'!$E$16:$E$20</c:f>
              <c:numCache>
                <c:formatCode>0.000</c:formatCode>
                <c:ptCount val="5"/>
                <c:pt idx="0">
                  <c:v>0.50908225000000007</c:v>
                </c:pt>
                <c:pt idx="1">
                  <c:v>0.70107129000000012</c:v>
                </c:pt>
                <c:pt idx="2">
                  <c:v>0.90307009000000005</c:v>
                </c:pt>
                <c:pt idx="3">
                  <c:v>1.0983040000000002</c:v>
                </c:pt>
                <c:pt idx="4">
                  <c:v>1.2950439999999999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38-4DB4-BF26-9C55BBA08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5714416"/>
        <c:axId val="1045710256"/>
      </c:scatterChart>
      <c:valAx>
        <c:axId val="104571025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baseline="0">
                    <a:solidFill>
                      <a:srgbClr val="000000"/>
                    </a:solidFill>
                    <a:latin typeface="Arial"/>
                  </a:defRPr>
                </a:pPr>
                <a:r>
                  <a:rPr lang="en-US"/>
                  <a:t>T^2 (sec.^2)</a:t>
                </a:r>
              </a:p>
            </c:rich>
          </c:tx>
          <c:layout>
            <c:manualLayout>
              <c:xMode val="edge"/>
              <c:yMode val="edge"/>
              <c:x val="7.7175544313729067E-3"/>
              <c:y val="0.36477230271078087"/>
            </c:manualLayout>
          </c:layout>
          <c:overlay val="0"/>
        </c:title>
        <c:numFmt formatCode="0.000" sourceLinked="0"/>
        <c:majorTickMark val="in"/>
        <c:minorTickMark val="none"/>
        <c:tickLblPos val="nextTo"/>
        <c:spPr>
          <a:ln w="6480">
            <a:solidFill>
              <a:srgbClr val="000000"/>
            </a:solidFill>
          </a:ln>
        </c:spPr>
        <c:txPr>
          <a:bodyPr/>
          <a:lstStyle/>
          <a:p>
            <a:pPr>
              <a:defRPr sz="1000" b="0" baseline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045714416"/>
        <c:crossesAt val="0"/>
        <c:crossBetween val="midCat"/>
      </c:valAx>
      <c:valAx>
        <c:axId val="1045714416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baseline="0">
                    <a:solidFill>
                      <a:srgbClr val="000000"/>
                    </a:solidFill>
                    <a:latin typeface="Arial"/>
                  </a:defRPr>
                </a:pPr>
                <a:r>
                  <a:rPr lang="en-US"/>
                  <a:t>M (kg)</a:t>
                </a:r>
              </a:p>
            </c:rich>
          </c:tx>
          <c:layout>
            <c:manualLayout>
              <c:xMode val="edge"/>
              <c:yMode val="edge"/>
              <c:x val="0.49589490968801314"/>
              <c:y val="0.90657724438169196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6480">
            <a:solidFill>
              <a:srgbClr val="000000"/>
            </a:solidFill>
          </a:ln>
        </c:spPr>
        <c:txPr>
          <a:bodyPr/>
          <a:lstStyle/>
          <a:p>
            <a:pPr>
              <a:defRPr sz="1000" b="0" baseline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045710256"/>
        <c:crossesAt val="0"/>
        <c:crossBetween val="midCat"/>
      </c:valAx>
      <c:spPr>
        <a:noFill/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300" b="0"/>
            </a:pPr>
            <a:r>
              <a:rPr lang="en-US"/>
              <a:t>Period squared vs. Oscillating mass (blue spring)</a:t>
            </a:r>
          </a:p>
        </c:rich>
      </c:tx>
      <c:layout>
        <c:manualLayout>
          <c:xMode val="edge"/>
          <c:yMode val="edge"/>
          <c:x val="0.10952380952380952"/>
          <c:y val="4.2593246264266388E-2"/>
        </c:manualLayout>
      </c:layout>
      <c:overlay val="0"/>
    </c:title>
    <c:autoTitleDeleted val="0"/>
    <c:plotArea>
      <c:layout>
        <c:manualLayout>
          <c:xMode val="edge"/>
          <c:yMode val="edge"/>
          <c:x val="7.6354679802955669E-2"/>
          <c:y val="0.17625603012119073"/>
          <c:w val="0.88752052545156002"/>
          <c:h val="0.72373220378868097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8B5E3"/>
              </a:solidFill>
              <a:ln>
                <a:solidFill>
                  <a:srgbClr val="7DB5E3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CE-42FB-B441-55972639633A}"/>
              </c:ext>
            </c:extLst>
          </c:dPt>
          <c:trendline>
            <c:spPr>
              <a:ln w="18360">
                <a:solidFill>
                  <a:srgbClr val="7DB5E3"/>
                </a:solidFill>
              </a:ln>
            </c:spPr>
            <c:trendlineType val="linear"/>
            <c:backward val="0.17500000000000002"/>
            <c:intercept val="0"/>
            <c:dispRSqr val="1"/>
            <c:dispEq val="1"/>
            <c:trendlineLbl>
              <c:layout>
                <c:manualLayout>
                  <c:x val="-0.35636277180396625"/>
                  <c:y val="1.8569497025728521E-2"/>
                </c:manualLayout>
              </c:layout>
              <c:numFmt formatCode="0.000000" sourceLinked="0"/>
              <c:txPr>
                <a:bodyPr/>
                <a:lstStyle/>
                <a:p>
                  <a:pPr>
                    <a:defRPr b="0" baseline="0"/>
                  </a:pPr>
                  <a:endParaRPr lang="en-US"/>
                </a:p>
              </c:txPr>
            </c:trendlineLbl>
          </c:trendline>
          <c:xVal>
            <c:numRef>
              <c:f>'Blue dynamic multipoint'!$C$16:$C$20</c:f>
              <c:numCache>
                <c:formatCode>0.00000</c:formatCode>
                <c:ptCount val="5"/>
                <c:pt idx="0">
                  <c:v>0.18033333333333332</c:v>
                </c:pt>
                <c:pt idx="1">
                  <c:v>0.23033333333333333</c:v>
                </c:pt>
                <c:pt idx="2">
                  <c:v>0.28033333333333332</c:v>
                </c:pt>
                <c:pt idx="3">
                  <c:v>0.33033333333333337</c:v>
                </c:pt>
                <c:pt idx="4">
                  <c:v>0.3803333333333333</c:v>
                </c:pt>
              </c:numCache>
            </c:numRef>
          </c:xVal>
          <c:yVal>
            <c:numRef>
              <c:f>'Blue dynamic multipoint'!$E$16:$E$20</c:f>
              <c:numCache>
                <c:formatCode>0.000</c:formatCode>
                <c:ptCount val="5"/>
                <c:pt idx="0">
                  <c:v>0.36264483999999997</c:v>
                </c:pt>
                <c:pt idx="1">
                  <c:v>0.46226400999999995</c:v>
                </c:pt>
                <c:pt idx="2">
                  <c:v>0.56235001000000007</c:v>
                </c:pt>
                <c:pt idx="3">
                  <c:v>0.66308449000000003</c:v>
                </c:pt>
                <c:pt idx="4">
                  <c:v>0.76282755999999996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C1-465A-BDB4-233386EB7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5708176"/>
        <c:axId val="1045711920"/>
      </c:scatterChart>
      <c:valAx>
        <c:axId val="104571192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baseline="0">
                    <a:solidFill>
                      <a:srgbClr val="000000"/>
                    </a:solidFill>
                    <a:latin typeface="Arial"/>
                  </a:defRPr>
                </a:pPr>
                <a:r>
                  <a:rPr lang="en-US"/>
                  <a:t>T^2 (sec.^2)</a:t>
                </a:r>
              </a:p>
            </c:rich>
          </c:tx>
          <c:layout>
            <c:manualLayout>
              <c:xMode val="edge"/>
              <c:yMode val="edge"/>
              <c:x val="1.3510795042445749E-2"/>
              <c:y val="0.38541066380152594"/>
            </c:manualLayout>
          </c:layout>
          <c:overlay val="0"/>
        </c:title>
        <c:numFmt formatCode="0.000" sourceLinked="0"/>
        <c:majorTickMark val="in"/>
        <c:minorTickMark val="none"/>
        <c:tickLblPos val="nextTo"/>
        <c:spPr>
          <a:ln w="6480">
            <a:solidFill>
              <a:srgbClr val="000000"/>
            </a:solidFill>
          </a:ln>
        </c:spPr>
        <c:txPr>
          <a:bodyPr/>
          <a:lstStyle/>
          <a:p>
            <a:pPr>
              <a:defRPr sz="1000" b="0" baseline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045708176"/>
        <c:crossesAt val="0"/>
        <c:crossBetween val="midCat"/>
      </c:valAx>
      <c:valAx>
        <c:axId val="1045708176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baseline="0">
                    <a:solidFill>
                      <a:srgbClr val="000000"/>
                    </a:solidFill>
                    <a:latin typeface="Arial"/>
                  </a:defRPr>
                </a:pPr>
                <a:r>
                  <a:rPr lang="en-US"/>
                  <a:t>M (kg)</a:t>
                </a:r>
              </a:p>
            </c:rich>
          </c:tx>
          <c:layout>
            <c:manualLayout>
              <c:xMode val="edge"/>
              <c:yMode val="edge"/>
              <c:x val="0.49597701149425288"/>
              <c:y val="0.90657724438169196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6480">
            <a:solidFill>
              <a:srgbClr val="000000"/>
            </a:solidFill>
          </a:ln>
        </c:spPr>
        <c:txPr>
          <a:bodyPr/>
          <a:lstStyle/>
          <a:p>
            <a:pPr>
              <a:defRPr sz="1000" b="0" baseline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045711920"/>
        <c:crossesAt val="0"/>
        <c:crossBetween val="midCat"/>
      </c:valAx>
      <c:spPr>
        <a:noFill/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300" b="0"/>
            </a:pPr>
            <a:r>
              <a:rPr lang="en-US"/>
              <a:t>Period squared vs. Oscillating mass (green spring)</a:t>
            </a:r>
          </a:p>
        </c:rich>
      </c:tx>
      <c:layout>
        <c:manualLayout>
          <c:xMode val="edge"/>
          <c:yMode val="edge"/>
          <c:x val="0.10903119868637109"/>
          <c:y val="4.2593246264266388E-2"/>
        </c:manualLayout>
      </c:layout>
      <c:overlay val="0"/>
    </c:title>
    <c:autoTitleDeleted val="0"/>
    <c:plotArea>
      <c:layout>
        <c:manualLayout>
          <c:xMode val="edge"/>
          <c:yMode val="edge"/>
          <c:x val="7.6354679802955669E-2"/>
          <c:y val="0.17625603012119073"/>
          <c:w val="0.88752052545156002"/>
          <c:h val="0.72373220378868097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81DB83"/>
              </a:solidFill>
              <a:ln>
                <a:noFill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7B-44C3-8DD0-A86A9F4A5B58}"/>
              </c:ext>
            </c:extLst>
          </c:dPt>
          <c:trendline>
            <c:spPr>
              <a:ln w="18360">
                <a:solidFill>
                  <a:srgbClr val="81DB83"/>
                </a:solidFill>
              </a:ln>
            </c:spPr>
            <c:trendlineType val="linear"/>
            <c:backward val="0.27"/>
            <c:intercept val="0"/>
            <c:dispRSqr val="1"/>
            <c:dispEq val="1"/>
            <c:trendlineLbl>
              <c:layout>
                <c:manualLayout>
                  <c:x val="-0.24433107776005625"/>
                  <c:y val="3.1670847235237054E-2"/>
                </c:manualLayout>
              </c:layout>
              <c:numFmt formatCode="0.000000" sourceLinked="0"/>
              <c:txPr>
                <a:bodyPr/>
                <a:lstStyle/>
                <a:p>
                  <a:pPr>
                    <a:defRPr b="0" baseline="0"/>
                  </a:pPr>
                  <a:endParaRPr lang="en-US"/>
                </a:p>
              </c:txPr>
            </c:trendlineLbl>
          </c:trendline>
          <c:xVal>
            <c:numRef>
              <c:f>'Green dynamic multipoint'!$C$16:$C$20</c:f>
              <c:numCache>
                <c:formatCode>0.00000</c:formatCode>
                <c:ptCount val="5"/>
                <c:pt idx="0">
                  <c:v>0.28066666666666668</c:v>
                </c:pt>
                <c:pt idx="1">
                  <c:v>0.33066666666666666</c:v>
                </c:pt>
                <c:pt idx="2">
                  <c:v>0.38066666666666665</c:v>
                </c:pt>
                <c:pt idx="3">
                  <c:v>0.4306666666666667</c:v>
                </c:pt>
                <c:pt idx="4">
                  <c:v>0.48066666666666669</c:v>
                </c:pt>
              </c:numCache>
            </c:numRef>
          </c:xVal>
          <c:yVal>
            <c:numRef>
              <c:f>'Green dynamic multipoint'!$E$16:$E$20</c:f>
              <c:numCache>
                <c:formatCode>0.000</c:formatCode>
                <c:ptCount val="5"/>
                <c:pt idx="0">
                  <c:v>0.27499535999999997</c:v>
                </c:pt>
                <c:pt idx="1">
                  <c:v>0.32341968999999998</c:v>
                </c:pt>
                <c:pt idx="2">
                  <c:v>0.37209999999999999</c:v>
                </c:pt>
                <c:pt idx="3">
                  <c:v>0.42120100000000005</c:v>
                </c:pt>
                <c:pt idx="4">
                  <c:v>0.46991024999999997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68-42DC-AA2E-00E179448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4934016"/>
        <c:axId val="1045710672"/>
      </c:scatterChart>
      <c:valAx>
        <c:axId val="104571067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baseline="0">
                    <a:solidFill>
                      <a:srgbClr val="000000"/>
                    </a:solidFill>
                    <a:latin typeface="Arial"/>
                  </a:defRPr>
                </a:pPr>
                <a:r>
                  <a:rPr lang="en-US"/>
                  <a:t>T^2 (sec.^2)</a:t>
                </a:r>
              </a:p>
            </c:rich>
          </c:tx>
          <c:layout>
            <c:manualLayout>
              <c:xMode val="edge"/>
              <c:yMode val="edge"/>
              <c:x val="1.6407415347982172E-2"/>
              <c:y val="0.38529298993921163"/>
            </c:manualLayout>
          </c:layout>
          <c:overlay val="0"/>
        </c:title>
        <c:numFmt formatCode="0.000" sourceLinked="0"/>
        <c:majorTickMark val="in"/>
        <c:minorTickMark val="none"/>
        <c:tickLblPos val="nextTo"/>
        <c:spPr>
          <a:ln w="6480">
            <a:solidFill>
              <a:srgbClr val="000000"/>
            </a:solidFill>
          </a:ln>
        </c:spPr>
        <c:txPr>
          <a:bodyPr/>
          <a:lstStyle/>
          <a:p>
            <a:pPr>
              <a:defRPr sz="1000" b="0" baseline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044934016"/>
        <c:crossesAt val="0"/>
        <c:crossBetween val="midCat"/>
      </c:valAx>
      <c:valAx>
        <c:axId val="1044934016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baseline="0">
                    <a:solidFill>
                      <a:srgbClr val="000000"/>
                    </a:solidFill>
                    <a:latin typeface="Arial"/>
                  </a:defRPr>
                </a:pPr>
                <a:r>
                  <a:rPr lang="en-US"/>
                  <a:t>M (kg)</a:t>
                </a:r>
              </a:p>
            </c:rich>
          </c:tx>
          <c:layout>
            <c:manualLayout>
              <c:xMode val="edge"/>
              <c:yMode val="edge"/>
              <c:x val="0.49605911330049263"/>
              <c:y val="0.90657724438169196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6480">
            <a:solidFill>
              <a:srgbClr val="000000"/>
            </a:solidFill>
          </a:ln>
        </c:spPr>
        <c:txPr>
          <a:bodyPr/>
          <a:lstStyle/>
          <a:p>
            <a:pPr>
              <a:defRPr sz="1000" b="0" baseline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045710672"/>
        <c:crossesAt val="0"/>
        <c:crossBetween val="midCat"/>
      </c:valAx>
      <c:spPr>
        <a:noFill/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200" b="0" baseline="0">
                <a:latin typeface="Arial"/>
              </a:defRPr>
            </a:pPr>
            <a:r>
              <a:rPr lang="en-US"/>
              <a:t>Spring force vs Elongation (red spring 01)</a:t>
            </a:r>
          </a:p>
        </c:rich>
      </c:tx>
      <c:layout>
        <c:manualLayout>
          <c:xMode val="edge"/>
          <c:yMode val="edge"/>
          <c:x val="0.19005989757292366"/>
          <c:y val="5.7190449750138816E-2"/>
        </c:manualLayout>
      </c:layout>
      <c:overlay val="0"/>
    </c:title>
    <c:autoTitleDeleted val="0"/>
    <c:plotArea>
      <c:layout>
        <c:manualLayout>
          <c:xMode val="edge"/>
          <c:yMode val="edge"/>
          <c:x val="5.6753507014028058E-2"/>
          <c:y val="0.12737368128817322"/>
          <c:w val="0.92088176352705409"/>
          <c:h val="0.75569128262076624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FF6D6D"/>
              </a:solidFill>
              <a:ln>
                <a:solidFill>
                  <a:srgbClr val="FF6D6D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ACDC-4D28-AA18-EC7ED07E1A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ACDC-4D28-AA18-EC7ED07E1A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ACDC-4D28-AA18-EC7ED07E1A25}"/>
              </c:ext>
            </c:extLst>
          </c:dPt>
          <c:trendline>
            <c:spPr>
              <a:ln w="18360">
                <a:solidFill>
                  <a:srgbClr val="FF6D6D"/>
                </a:solidFill>
              </a:ln>
            </c:spPr>
            <c:trendlineType val="linear"/>
            <c:backward val="1.2000000000000002E-2"/>
            <c:dispRSqr val="1"/>
            <c:dispEq val="1"/>
            <c:trendlineLbl>
              <c:layout>
                <c:manualLayout>
                  <c:x val="-0.34110127548856017"/>
                  <c:y val="-3.9765584291580759E-2"/>
                </c:manualLayout>
              </c:layout>
              <c:numFmt formatCode="0.00000" sourceLinked="0"/>
              <c:txPr>
                <a:bodyPr/>
                <a:lstStyle/>
                <a:p>
                  <a:pPr>
                    <a:defRPr b="0" baseline="0"/>
                  </a:pPr>
                  <a:endParaRPr lang="en-US"/>
                </a:p>
              </c:txPr>
            </c:trendlineLbl>
          </c:trendline>
          <c:xVal>
            <c:numRef>
              <c:f>'Instructor calculations'!$E$8:$E$12</c:f>
              <c:numCache>
                <c:formatCode>General</c:formatCode>
                <c:ptCount val="5"/>
                <c:pt idx="0">
                  <c:v>1.3999999999999986E-2</c:v>
                </c:pt>
                <c:pt idx="1">
                  <c:v>6.3999999999999987E-2</c:v>
                </c:pt>
                <c:pt idx="2">
                  <c:v>0.11299999999999998</c:v>
                </c:pt>
                <c:pt idx="3">
                  <c:v>0.16200000000000003</c:v>
                </c:pt>
                <c:pt idx="4">
                  <c:v>0.21099999999999994</c:v>
                </c:pt>
              </c:numCache>
            </c:numRef>
          </c:xVal>
          <c:yVal>
            <c:numRef>
              <c:f>'Instructor calculations'!$F$8:$F$12</c:f>
              <c:numCache>
                <c:formatCode>#,##0.000</c:formatCode>
                <c:ptCount val="5"/>
                <c:pt idx="0">
                  <c:v>0.98000000000000009</c:v>
                </c:pt>
                <c:pt idx="1">
                  <c:v>1.47</c:v>
                </c:pt>
                <c:pt idx="2">
                  <c:v>1.9600000000000002</c:v>
                </c:pt>
                <c:pt idx="3">
                  <c:v>2.4500000000000002</c:v>
                </c:pt>
                <c:pt idx="4">
                  <c:v>2.94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6A-467D-9BC4-A7E6801D144E}"/>
            </c:ext>
          </c:extLst>
        </c:ser>
        <c:ser>
          <c:idx val="1"/>
          <c:order val="1"/>
          <c:spPr>
            <a:ln>
              <a:noFill/>
            </a:ln>
          </c:spPr>
          <c:marker>
            <c:symbol val="diamond"/>
            <c:size val="8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4-ACDC-4D28-AA18-EC7ED07E1A25}"/>
              </c:ext>
            </c:extLst>
          </c:dPt>
          <c:trendline>
            <c:spPr>
              <a:ln w="18360">
                <a:solidFill>
                  <a:srgbClr val="81DB83"/>
                </a:solidFill>
              </a:ln>
            </c:spPr>
            <c:trendlineType val="linear"/>
            <c:forward val="0.1"/>
            <c:dispRSqr val="0"/>
            <c:dispEq val="1"/>
            <c:trendlineLbl>
              <c:layout>
                <c:manualLayout>
                  <c:x val="-0.25530124863241893"/>
                  <c:y val="0.47761984635750804"/>
                </c:manualLayout>
              </c:layout>
              <c:numFmt formatCode="0.00000" sourceLinked="0"/>
            </c:trendlineLbl>
          </c:trendline>
          <c:xVal>
            <c:numRef>
              <c:f>'Instructor calculations'!$E$20:$E$21</c:f>
              <c:numCache>
                <c:formatCode>General</c:formatCode>
                <c:ptCount val="2"/>
                <c:pt idx="0">
                  <c:v>0</c:v>
                </c:pt>
                <c:pt idx="1">
                  <c:v>0.113</c:v>
                </c:pt>
              </c:numCache>
            </c:numRef>
          </c:xVal>
          <c:yVal>
            <c:numRef>
              <c:f>'Instructor calculations'!$F$20:$F$21</c:f>
              <c:numCache>
                <c:formatCode>General</c:formatCode>
                <c:ptCount val="2"/>
                <c:pt idx="0">
                  <c:v>0</c:v>
                </c:pt>
                <c:pt idx="1">
                  <c:v>1.96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66A-467D-9BC4-A7E6801D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7729888"/>
        <c:axId val="1047729056"/>
      </c:scatterChart>
      <c:valAx>
        <c:axId val="10477290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baseline="0">
                    <a:latin typeface="Arial"/>
                  </a:defRPr>
                </a:pPr>
                <a:r>
                  <a:rPr lang="en-US"/>
                  <a:t>Spring Force Fs (N)</a:t>
                </a:r>
              </a:p>
            </c:rich>
          </c:tx>
          <c:overlay val="0"/>
        </c:title>
        <c:numFmt formatCode="General" sourceLinked="0"/>
        <c:majorTickMark val="in"/>
        <c:minorTickMark val="in"/>
        <c:tickLblPos val="nextTo"/>
        <c:txPr>
          <a:bodyPr/>
          <a:lstStyle/>
          <a:p>
            <a:pPr>
              <a:defRPr sz="1000" b="0" baseline="0">
                <a:latin typeface="Arial"/>
              </a:defRPr>
            </a:pPr>
            <a:endParaRPr lang="en-US"/>
          </a:p>
        </c:txPr>
        <c:crossAx val="1047729888"/>
        <c:crossesAt val="0"/>
        <c:crossBetween val="midCat"/>
      </c:valAx>
      <c:valAx>
        <c:axId val="104772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baseline="0">
                    <a:latin typeface="Arial"/>
                  </a:defRPr>
                </a:pPr>
                <a:r>
                  <a:rPr lang="en-US"/>
                  <a:t>Elongation y (m)</a:t>
                </a:r>
              </a:p>
            </c:rich>
          </c:tx>
          <c:overlay val="0"/>
        </c:title>
        <c:numFmt formatCode="General" sourceLinked="0"/>
        <c:majorTickMark val="in"/>
        <c:minorTickMark val="in"/>
        <c:tickLblPos val="nextTo"/>
        <c:txPr>
          <a:bodyPr/>
          <a:lstStyle/>
          <a:p>
            <a:pPr>
              <a:defRPr sz="1000" b="0" baseline="0">
                <a:latin typeface="Arial"/>
              </a:defRPr>
            </a:pPr>
            <a:endParaRPr lang="en-US"/>
          </a:p>
        </c:txPr>
        <c:crossAx val="1047729056"/>
        <c:crossesAt val="0"/>
        <c:crossBetween val="midCat"/>
      </c:valAx>
      <c:spPr>
        <a:noFill/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196977</xdr:colOff>
      <xdr:row>18</xdr:row>
      <xdr:rowOff>4191</xdr:rowOff>
    </xdr:from>
    <xdr:ext cx="4490593" cy="32414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7E6E45-CABB-413F-923D-0874B5FD10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271780</xdr:colOff>
      <xdr:row>18</xdr:row>
      <xdr:rowOff>143256</xdr:rowOff>
    </xdr:from>
    <xdr:ext cx="4490593" cy="32414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9E7651-6F46-4092-989C-9CAB74F2C9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372110</xdr:colOff>
      <xdr:row>17</xdr:row>
      <xdr:rowOff>171323</xdr:rowOff>
    </xdr:from>
    <xdr:ext cx="4490593" cy="32414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CAA515-E398-4E96-AFD1-003C7A301A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288036</xdr:colOff>
      <xdr:row>28</xdr:row>
      <xdr:rowOff>130302</xdr:rowOff>
    </xdr:from>
    <xdr:ext cx="4384420" cy="3059303"/>
    <xdr:graphicFrame macro="">
      <xdr:nvGraphicFramePr>
        <xdr:cNvPr id="2" name="Period squared vs oscillating mass Red Spring">
          <a:extLst>
            <a:ext uri="{FF2B5EF4-FFF2-40B4-BE49-F238E27FC236}">
              <a16:creationId xmlns:a16="http://schemas.microsoft.com/office/drawing/2014/main" id="{2499B027-FF42-49DC-9234-4511C6C299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288036</xdr:colOff>
      <xdr:row>28</xdr:row>
      <xdr:rowOff>130302</xdr:rowOff>
    </xdr:from>
    <xdr:ext cx="4384420" cy="3059303"/>
    <xdr:graphicFrame macro="">
      <xdr:nvGraphicFramePr>
        <xdr:cNvPr id="2" name="Period squared vs oscillating mass Red Spring">
          <a:extLst>
            <a:ext uri="{FF2B5EF4-FFF2-40B4-BE49-F238E27FC236}">
              <a16:creationId xmlns:a16="http://schemas.microsoft.com/office/drawing/2014/main" id="{431E1696-38C6-4CFE-9EBA-ECBF81118E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288036</xdr:colOff>
      <xdr:row>28</xdr:row>
      <xdr:rowOff>130302</xdr:rowOff>
    </xdr:from>
    <xdr:ext cx="4384420" cy="3059303"/>
    <xdr:graphicFrame macro="">
      <xdr:nvGraphicFramePr>
        <xdr:cNvPr id="2" name="Period squared vs oscillating mass Red Spring">
          <a:extLst>
            <a:ext uri="{FF2B5EF4-FFF2-40B4-BE49-F238E27FC236}">
              <a16:creationId xmlns:a16="http://schemas.microsoft.com/office/drawing/2014/main" id="{27D14982-C98C-4335-8A23-9B4D443895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104013</xdr:colOff>
      <xdr:row>17</xdr:row>
      <xdr:rowOff>129286</xdr:rowOff>
    </xdr:from>
    <xdr:ext cx="4490593" cy="32414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742304-09C2-4BAE-AA6F-9C9B3EED65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D6D"/>
  </sheetPr>
  <dimension ref="A1:H21"/>
  <sheetViews>
    <sheetView tabSelected="1" workbookViewId="0">
      <selection activeCell="J13" sqref="J13"/>
    </sheetView>
  </sheetViews>
  <sheetFormatPr defaultRowHeight="14.5" x14ac:dyDescent="0.35"/>
  <cols>
    <col min="1" max="1" width="13.1796875" customWidth="1"/>
    <col min="2" max="2" width="13.81640625" customWidth="1"/>
    <col min="3" max="3" width="10.453125" customWidth="1"/>
    <col min="4" max="4" width="15.1796875" customWidth="1"/>
    <col min="5" max="5" width="9.453125" customWidth="1"/>
    <col min="6" max="6" width="10.26953125" customWidth="1"/>
    <col min="7" max="1024" width="8.7265625" customWidth="1"/>
  </cols>
  <sheetData>
    <row r="1" spans="1:8" x14ac:dyDescent="0.35">
      <c r="A1" s="1"/>
      <c r="B1" s="52" t="s">
        <v>0</v>
      </c>
      <c r="C1" s="52"/>
      <c r="D1" s="52"/>
      <c r="E1" s="1"/>
      <c r="F1" s="1"/>
      <c r="G1" s="1"/>
      <c r="H1" s="1"/>
    </row>
    <row r="2" spans="1:8" x14ac:dyDescent="0.35">
      <c r="A2" s="1"/>
      <c r="B2" s="1"/>
      <c r="C2" s="1"/>
      <c r="D2" s="1"/>
      <c r="E2" s="1"/>
      <c r="F2" s="1"/>
      <c r="G2" s="1"/>
      <c r="H2" s="1"/>
    </row>
    <row r="3" spans="1:8" x14ac:dyDescent="0.35">
      <c r="A3" s="1"/>
      <c r="B3" s="3" t="s">
        <v>1</v>
      </c>
      <c r="C3" s="1"/>
      <c r="D3" s="1"/>
      <c r="E3" s="1"/>
      <c r="F3" s="1"/>
      <c r="G3" s="1"/>
      <c r="H3" s="1"/>
    </row>
    <row r="4" spans="1:8" x14ac:dyDescent="0.35">
      <c r="A4" s="1"/>
      <c r="B4" s="1"/>
      <c r="C4" s="4" t="s">
        <v>2</v>
      </c>
      <c r="D4" s="3" t="s">
        <v>3</v>
      </c>
      <c r="E4" s="2" t="s">
        <v>2</v>
      </c>
      <c r="F4" s="2" t="s">
        <v>2</v>
      </c>
      <c r="G4" s="1"/>
      <c r="H4" s="1"/>
    </row>
    <row r="5" spans="1:8" ht="43.5" x14ac:dyDescent="0.35">
      <c r="A5" s="1"/>
      <c r="B5" s="1"/>
      <c r="C5" s="5" t="s">
        <v>4</v>
      </c>
      <c r="D5" s="5" t="s">
        <v>5</v>
      </c>
      <c r="E5" s="5" t="s">
        <v>6</v>
      </c>
      <c r="F5" s="5" t="s">
        <v>7</v>
      </c>
      <c r="G5" s="6"/>
      <c r="H5" s="6"/>
    </row>
    <row r="6" spans="1:8" x14ac:dyDescent="0.35">
      <c r="A6" s="1"/>
      <c r="B6" s="1"/>
      <c r="C6" s="4" t="s">
        <v>8</v>
      </c>
      <c r="D6" s="4" t="s">
        <v>9</v>
      </c>
      <c r="E6" s="4" t="s">
        <v>10</v>
      </c>
      <c r="F6" s="4" t="s">
        <v>11</v>
      </c>
      <c r="G6" s="1"/>
      <c r="H6" s="1"/>
    </row>
    <row r="7" spans="1:8" x14ac:dyDescent="0.35">
      <c r="A7" s="1"/>
      <c r="B7" s="1"/>
      <c r="C7" s="4">
        <v>0</v>
      </c>
      <c r="D7" s="4">
        <v>50.2</v>
      </c>
      <c r="E7" s="2" t="s">
        <v>12</v>
      </c>
      <c r="F7" s="4" t="s">
        <v>12</v>
      </c>
      <c r="G7" s="1"/>
      <c r="H7" s="1"/>
    </row>
    <row r="8" spans="1:8" x14ac:dyDescent="0.35">
      <c r="A8" s="1"/>
      <c r="B8" s="2" t="s">
        <v>13</v>
      </c>
      <c r="C8" s="4">
        <v>100</v>
      </c>
      <c r="D8" s="4">
        <v>51.6</v>
      </c>
      <c r="E8" s="4">
        <f>ABS(D8-$D$7)/100</f>
        <v>1.3999999999999986E-2</v>
      </c>
      <c r="F8" s="7">
        <f>C8*9.8/1000</f>
        <v>0.98000000000000009</v>
      </c>
      <c r="G8" s="1"/>
      <c r="H8" s="1"/>
    </row>
    <row r="9" spans="1:8" x14ac:dyDescent="0.35">
      <c r="A9" s="1"/>
      <c r="B9" s="1"/>
      <c r="C9" s="4">
        <v>150</v>
      </c>
      <c r="D9" s="4">
        <v>56.6</v>
      </c>
      <c r="E9" s="4">
        <f>ABS(D9-$D$7)/100</f>
        <v>6.3999999999999987E-2</v>
      </c>
      <c r="F9" s="7">
        <f>C9*9.8/1000</f>
        <v>1.47</v>
      </c>
      <c r="G9" s="1"/>
      <c r="H9" s="1"/>
    </row>
    <row r="10" spans="1:8" x14ac:dyDescent="0.35">
      <c r="A10" s="1"/>
      <c r="B10" s="1"/>
      <c r="C10" s="4">
        <v>200</v>
      </c>
      <c r="D10" s="4">
        <v>61.5</v>
      </c>
      <c r="E10" s="4">
        <f>ABS(D10-$D$7)/100</f>
        <v>0.11299999999999998</v>
      </c>
      <c r="F10" s="7">
        <f>C10*9.8/1000</f>
        <v>1.9600000000000002</v>
      </c>
      <c r="G10" s="1"/>
      <c r="H10" s="1"/>
    </row>
    <row r="11" spans="1:8" x14ac:dyDescent="0.35">
      <c r="A11" s="1"/>
      <c r="B11" s="1"/>
      <c r="C11" s="4">
        <v>250</v>
      </c>
      <c r="D11" s="4">
        <v>66.400000000000006</v>
      </c>
      <c r="E11" s="4">
        <f>ABS(D11-$D$7)/100</f>
        <v>0.16200000000000003</v>
      </c>
      <c r="F11" s="7">
        <f>C11*9.8/1000</f>
        <v>2.4500000000000002</v>
      </c>
      <c r="G11" s="1"/>
      <c r="H11" s="1"/>
    </row>
    <row r="12" spans="1:8" x14ac:dyDescent="0.35">
      <c r="A12" s="1"/>
      <c r="B12" s="2" t="s">
        <v>14</v>
      </c>
      <c r="C12" s="4">
        <v>300</v>
      </c>
      <c r="D12" s="4">
        <v>71.3</v>
      </c>
      <c r="E12" s="4">
        <f>ABS(D12-$D$7)/100</f>
        <v>0.21099999999999994</v>
      </c>
      <c r="F12" s="7">
        <f>C12*9.8/1000</f>
        <v>2.94</v>
      </c>
      <c r="G12" s="1"/>
      <c r="H12" s="1"/>
    </row>
    <row r="13" spans="1:8" x14ac:dyDescent="0.35">
      <c r="A13" s="1"/>
      <c r="B13" s="1"/>
      <c r="C13" s="8"/>
      <c r="D13" s="8"/>
      <c r="E13" s="8"/>
      <c r="F13" s="8"/>
      <c r="G13" s="1"/>
      <c r="H13" s="1"/>
    </row>
    <row r="14" spans="1:8" x14ac:dyDescent="0.35">
      <c r="A14" s="1"/>
      <c r="B14" s="53" t="s">
        <v>15</v>
      </c>
      <c r="C14" s="53"/>
      <c r="D14" s="53"/>
      <c r="E14" s="54" t="s">
        <v>16</v>
      </c>
      <c r="F14" s="54"/>
      <c r="G14" s="1"/>
      <c r="H14" s="2"/>
    </row>
    <row r="15" spans="1:8" ht="17.5" x14ac:dyDescent="0.35">
      <c r="A15" s="1"/>
      <c r="B15" s="4" t="s">
        <v>17</v>
      </c>
      <c r="C15" s="4" t="s">
        <v>18</v>
      </c>
      <c r="D15" s="4" t="s">
        <v>19</v>
      </c>
      <c r="E15" s="4" t="s">
        <v>17</v>
      </c>
      <c r="F15" s="1"/>
      <c r="G15" s="1"/>
      <c r="H15" s="2"/>
    </row>
    <row r="16" spans="1:8" x14ac:dyDescent="0.35">
      <c r="A16" s="1"/>
      <c r="B16" s="9">
        <f>INDEX(LINEST(F8:F12,E8:E12,1,1),1,1)</f>
        <v>9.9591850223904004</v>
      </c>
      <c r="C16" s="10">
        <f>INDEX(LINEST(F8:F12,E8:E12,1,1), 1,2)</f>
        <v>0.83660392947436324</v>
      </c>
      <c r="D16" s="10">
        <f>INDEX(LINEST(F8:F12,E8:E12,1,1),3,1)</f>
        <v>0.99998347571756696</v>
      </c>
      <c r="E16" s="4">
        <v>10</v>
      </c>
      <c r="F16" s="11"/>
      <c r="G16" s="1"/>
      <c r="H16" s="1"/>
    </row>
    <row r="17" spans="1:8" x14ac:dyDescent="0.35">
      <c r="A17" s="2" t="s">
        <v>20</v>
      </c>
      <c r="B17" s="12">
        <f>INDEX(LINEST(F8:F12,E8:E12,1,1),2,1)</f>
        <v>2.3373732331651478E-2</v>
      </c>
      <c r="C17" s="13">
        <f>INDEX(LINEST(F8:F12,E8:E12,1,1), 2,2)</f>
        <v>3.0978088480939957E-3</v>
      </c>
      <c r="D17" s="13">
        <f>INDEX(LINEST(F8:F12,E8:E12,1,1),3,2)</f>
        <v>3.6366102403986118E-3</v>
      </c>
      <c r="E17" s="14">
        <f>(B16-E16)/E16</f>
        <v>-4.0814977609599625E-3</v>
      </c>
      <c r="F17" s="54" t="s">
        <v>21</v>
      </c>
      <c r="G17" s="54"/>
      <c r="H17" s="1"/>
    </row>
    <row r="19" spans="1:8" x14ac:dyDescent="0.35">
      <c r="B19" s="15"/>
      <c r="E19" s="16"/>
      <c r="F19" s="16"/>
    </row>
    <row r="20" spans="1:8" x14ac:dyDescent="0.35">
      <c r="E20" s="16"/>
      <c r="F20" s="16"/>
    </row>
    <row r="21" spans="1:8" x14ac:dyDescent="0.35">
      <c r="E21" s="16"/>
      <c r="F21" s="16"/>
    </row>
  </sheetData>
  <mergeCells count="4">
    <mergeCell ref="B1:D1"/>
    <mergeCell ref="B14:D14"/>
    <mergeCell ref="E14:F14"/>
    <mergeCell ref="F17:G17"/>
  </mergeCells>
  <printOptions gridLines="1"/>
  <pageMargins left="0.78736111111111118" right="0.78736111111111118" top="1.1512500000000001" bottom="1.1512500000000001" header="0.78736111111111118" footer="0.78736111111111118"/>
  <pageSetup fitToWidth="0" fitToHeight="0" orientation="portrait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DB5E3"/>
  </sheetPr>
  <dimension ref="A1:H21"/>
  <sheetViews>
    <sheetView workbookViewId="0">
      <selection activeCell="I29" sqref="I29"/>
    </sheetView>
  </sheetViews>
  <sheetFormatPr defaultRowHeight="14.5" x14ac:dyDescent="0.35"/>
  <cols>
    <col min="1" max="1" width="13" customWidth="1"/>
    <col min="2" max="2" width="13.81640625" customWidth="1"/>
    <col min="3" max="3" width="10.1796875" customWidth="1"/>
    <col min="4" max="4" width="15.1796875" customWidth="1"/>
    <col min="5" max="5" width="9.453125" customWidth="1"/>
    <col min="6" max="6" width="10.1796875" customWidth="1"/>
    <col min="7" max="1024" width="8.7265625" customWidth="1"/>
  </cols>
  <sheetData>
    <row r="1" spans="1:8" x14ac:dyDescent="0.35">
      <c r="A1" s="1"/>
      <c r="B1" s="52" t="s">
        <v>0</v>
      </c>
      <c r="C1" s="52"/>
      <c r="D1" s="52"/>
      <c r="E1" s="1"/>
      <c r="F1" s="1"/>
      <c r="G1" s="1"/>
      <c r="H1" s="1"/>
    </row>
    <row r="2" spans="1:8" x14ac:dyDescent="0.35">
      <c r="A2" s="1"/>
      <c r="B2" s="1"/>
      <c r="C2" s="1"/>
      <c r="D2" s="1"/>
      <c r="E2" s="1"/>
      <c r="F2" s="1"/>
      <c r="G2" s="1"/>
      <c r="H2" s="1"/>
    </row>
    <row r="3" spans="1:8" x14ac:dyDescent="0.35">
      <c r="A3" s="1"/>
      <c r="B3" s="38" t="s">
        <v>22</v>
      </c>
      <c r="C3" s="1"/>
      <c r="D3" s="1"/>
      <c r="E3" s="1"/>
      <c r="F3" s="1"/>
      <c r="G3" s="1"/>
      <c r="H3" s="1"/>
    </row>
    <row r="4" spans="1:8" x14ac:dyDescent="0.35">
      <c r="A4" s="1"/>
      <c r="B4" s="1"/>
      <c r="C4" s="4" t="s">
        <v>2</v>
      </c>
      <c r="D4" s="38" t="s">
        <v>3</v>
      </c>
      <c r="E4" s="2" t="s">
        <v>2</v>
      </c>
      <c r="F4" s="2" t="s">
        <v>2</v>
      </c>
      <c r="G4" s="1"/>
      <c r="H4" s="1"/>
    </row>
    <row r="5" spans="1:8" ht="43.5" x14ac:dyDescent="0.35">
      <c r="A5" s="1"/>
      <c r="B5" s="1"/>
      <c r="C5" s="5" t="s">
        <v>4</v>
      </c>
      <c r="D5" s="5" t="s">
        <v>5</v>
      </c>
      <c r="E5" s="5" t="s">
        <v>6</v>
      </c>
      <c r="F5" s="5" t="s">
        <v>7</v>
      </c>
      <c r="G5" s="6"/>
      <c r="H5" s="6"/>
    </row>
    <row r="6" spans="1:8" x14ac:dyDescent="0.35">
      <c r="A6" s="1"/>
      <c r="B6" s="1"/>
      <c r="C6" s="4" t="s">
        <v>8</v>
      </c>
      <c r="D6" s="4" t="s">
        <v>9</v>
      </c>
      <c r="E6" s="4" t="s">
        <v>10</v>
      </c>
      <c r="F6" s="4" t="s">
        <v>11</v>
      </c>
      <c r="G6" s="1"/>
      <c r="H6" s="1"/>
    </row>
    <row r="7" spans="1:8" x14ac:dyDescent="0.35">
      <c r="A7" s="1"/>
      <c r="B7" s="1"/>
      <c r="C7" s="4">
        <v>0</v>
      </c>
      <c r="D7" s="4">
        <v>50.6</v>
      </c>
      <c r="E7" s="2" t="s">
        <v>12</v>
      </c>
      <c r="F7" s="4" t="s">
        <v>12</v>
      </c>
      <c r="G7" s="1"/>
      <c r="H7" s="1"/>
    </row>
    <row r="8" spans="1:8" x14ac:dyDescent="0.35">
      <c r="A8" s="1"/>
      <c r="B8" s="2" t="s">
        <v>23</v>
      </c>
      <c r="C8" s="4">
        <v>150</v>
      </c>
      <c r="D8" s="4">
        <v>52.3</v>
      </c>
      <c r="E8" s="4">
        <f>ABS(D8-$D$7)/100</f>
        <v>1.6999999999999956E-2</v>
      </c>
      <c r="F8" s="7">
        <f>C8*9.8/1000</f>
        <v>1.47</v>
      </c>
      <c r="G8" s="1"/>
      <c r="H8" s="1"/>
    </row>
    <row r="9" spans="1:8" x14ac:dyDescent="0.35">
      <c r="A9" s="1"/>
      <c r="B9" s="1"/>
      <c r="C9" s="4">
        <v>200</v>
      </c>
      <c r="D9" s="4">
        <v>54.8</v>
      </c>
      <c r="E9" s="4">
        <f>ABS(D9-$D$7)/100</f>
        <v>4.1999999999999954E-2</v>
      </c>
      <c r="F9" s="7">
        <f>C9*9.8/1000</f>
        <v>1.9600000000000002</v>
      </c>
      <c r="G9" s="1"/>
      <c r="H9" s="1"/>
    </row>
    <row r="10" spans="1:8" x14ac:dyDescent="0.35">
      <c r="A10" s="1"/>
      <c r="B10" s="1"/>
      <c r="C10" s="4">
        <v>250</v>
      </c>
      <c r="D10" s="4">
        <v>57.3</v>
      </c>
      <c r="E10" s="4">
        <f>ABS(D10-$D$7)/100</f>
        <v>6.6999999999999962E-2</v>
      </c>
      <c r="F10" s="7">
        <f>C10*9.8/1000</f>
        <v>2.4500000000000002</v>
      </c>
      <c r="G10" s="1"/>
      <c r="H10" s="1"/>
    </row>
    <row r="11" spans="1:8" x14ac:dyDescent="0.35">
      <c r="A11" s="1"/>
      <c r="B11" s="1"/>
      <c r="C11" s="4">
        <v>300</v>
      </c>
      <c r="D11" s="4">
        <v>59.8</v>
      </c>
      <c r="E11" s="4">
        <f>ABS(D11-$D$7)/100</f>
        <v>9.1999999999999957E-2</v>
      </c>
      <c r="F11" s="7">
        <f>C11*9.8/1000</f>
        <v>2.94</v>
      </c>
      <c r="G11" s="1"/>
      <c r="H11" s="1"/>
    </row>
    <row r="12" spans="1:8" x14ac:dyDescent="0.35">
      <c r="A12" s="1"/>
      <c r="B12" s="2" t="s">
        <v>24</v>
      </c>
      <c r="C12" s="4">
        <v>350</v>
      </c>
      <c r="D12" s="4">
        <v>62.3</v>
      </c>
      <c r="E12" s="4">
        <f>ABS(D12-$D$7)/100</f>
        <v>0.11699999999999995</v>
      </c>
      <c r="F12" s="7">
        <f>C12*9.8/1000</f>
        <v>3.4300000000000006</v>
      </c>
      <c r="G12" s="1"/>
      <c r="H12" s="1"/>
    </row>
    <row r="13" spans="1:8" x14ac:dyDescent="0.35">
      <c r="A13" s="1"/>
      <c r="B13" s="1"/>
      <c r="C13" s="8"/>
      <c r="D13" s="8"/>
      <c r="E13" s="8"/>
      <c r="F13" s="8"/>
      <c r="G13" s="1"/>
      <c r="H13" s="1"/>
    </row>
    <row r="14" spans="1:8" x14ac:dyDescent="0.35">
      <c r="A14" s="1"/>
      <c r="B14" s="55" t="s">
        <v>25</v>
      </c>
      <c r="C14" s="55"/>
      <c r="D14" s="55"/>
      <c r="E14" s="54" t="s">
        <v>16</v>
      </c>
      <c r="F14" s="54"/>
      <c r="H14" s="2"/>
    </row>
    <row r="15" spans="1:8" ht="17.5" x14ac:dyDescent="0.35">
      <c r="A15" s="1"/>
      <c r="B15" s="4" t="s">
        <v>17</v>
      </c>
      <c r="C15" s="4" t="s">
        <v>18</v>
      </c>
      <c r="D15" s="4" t="s">
        <v>19</v>
      </c>
      <c r="E15" s="4" t="s">
        <v>17</v>
      </c>
      <c r="F15" s="1"/>
      <c r="G15" s="17"/>
      <c r="H15" s="2"/>
    </row>
    <row r="16" spans="1:8" x14ac:dyDescent="0.35">
      <c r="A16" s="1"/>
      <c r="B16" s="36">
        <f>INDEX(LINEST(F8:F12,E8:E12,1,1),1,1)</f>
        <v>19.600000000000005</v>
      </c>
      <c r="C16" s="37">
        <f>INDEX(LINEST(F8:F12,E8:E12,1,1), 1,2)</f>
        <v>1.1368000000000005</v>
      </c>
      <c r="D16" s="37">
        <f>INDEX(LINEST(F8:F12,E8:E12,1,1),3,1)</f>
        <v>1</v>
      </c>
      <c r="E16" s="4">
        <v>20</v>
      </c>
      <c r="F16" s="11"/>
      <c r="G16" s="1"/>
      <c r="H16" s="1"/>
    </row>
    <row r="17" spans="1:8" x14ac:dyDescent="0.35">
      <c r="A17" s="2" t="s">
        <v>20</v>
      </c>
      <c r="B17" s="12">
        <f>INDEX(LINEST(F8:F12,E8:E12,1,1),2,1)</f>
        <v>3.9720546451956362E-15</v>
      </c>
      <c r="C17" s="13">
        <f>INDEX(LINEST(F8:F12,E8:E12,1,1), 2,2)</f>
        <v>3.0090771791575505E-16</v>
      </c>
      <c r="D17" s="13">
        <f>INDEX(LINEST(F8:F12,E8:E12,1,1),3,2)</f>
        <v>3.1401849173675503E-16</v>
      </c>
      <c r="E17" s="14">
        <f>(B16-E16)/E16</f>
        <v>-1.9999999999999751E-2</v>
      </c>
      <c r="F17" s="54" t="s">
        <v>21</v>
      </c>
      <c r="G17" s="54"/>
      <c r="H17" s="1"/>
    </row>
    <row r="19" spans="1:8" x14ac:dyDescent="0.35">
      <c r="B19" s="15"/>
      <c r="E19" s="16"/>
      <c r="F19" s="16"/>
    </row>
    <row r="20" spans="1:8" x14ac:dyDescent="0.35">
      <c r="E20" s="16"/>
      <c r="F20" s="16"/>
    </row>
    <row r="21" spans="1:8" x14ac:dyDescent="0.35">
      <c r="E21" s="16"/>
      <c r="F21" s="16"/>
    </row>
  </sheetData>
  <mergeCells count="4">
    <mergeCell ref="B1:D1"/>
    <mergeCell ref="B14:D14"/>
    <mergeCell ref="E14:F14"/>
    <mergeCell ref="F17:G17"/>
  </mergeCells>
  <printOptions gridLines="1"/>
  <pageMargins left="0.78736111111111118" right="0.78736111111111118" top="1.1512500000000001" bottom="1.1512500000000001" header="0.78736111111111118" footer="0.78736111111111118"/>
  <pageSetup paperSize="0" fitToWidth="0" fitToHeight="0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1DB83"/>
  </sheetPr>
  <dimension ref="A1:H21"/>
  <sheetViews>
    <sheetView workbookViewId="0">
      <selection activeCell="D16" sqref="D16"/>
    </sheetView>
  </sheetViews>
  <sheetFormatPr defaultRowHeight="14.5" x14ac:dyDescent="0.35"/>
  <cols>
    <col min="1" max="1" width="13.453125" customWidth="1"/>
    <col min="2" max="2" width="14.81640625" customWidth="1"/>
    <col min="3" max="3" width="10.26953125" customWidth="1"/>
    <col min="4" max="4" width="15.1796875" customWidth="1"/>
    <col min="5" max="5" width="9.453125" customWidth="1"/>
    <col min="6" max="6" width="10.453125" customWidth="1"/>
    <col min="7" max="1024" width="8.7265625" customWidth="1"/>
  </cols>
  <sheetData>
    <row r="1" spans="1:8" x14ac:dyDescent="0.35">
      <c r="A1" s="1"/>
      <c r="B1" s="52" t="s">
        <v>0</v>
      </c>
      <c r="C1" s="52"/>
      <c r="D1" s="52"/>
      <c r="E1" s="1"/>
      <c r="F1" s="1"/>
      <c r="G1" s="1"/>
      <c r="H1" s="1"/>
    </row>
    <row r="2" spans="1:8" x14ac:dyDescent="0.35">
      <c r="A2" s="1"/>
      <c r="B2" s="1"/>
      <c r="C2" s="1"/>
      <c r="D2" s="1"/>
      <c r="E2" s="1"/>
      <c r="F2" s="1"/>
      <c r="G2" s="1"/>
      <c r="H2" s="1"/>
    </row>
    <row r="3" spans="1:8" x14ac:dyDescent="0.35">
      <c r="A3" s="1"/>
      <c r="B3" s="39" t="s">
        <v>26</v>
      </c>
      <c r="C3" s="1"/>
      <c r="D3" s="1"/>
      <c r="E3" s="1"/>
      <c r="F3" s="1"/>
      <c r="G3" s="1"/>
      <c r="H3" s="1"/>
    </row>
    <row r="4" spans="1:8" x14ac:dyDescent="0.35">
      <c r="A4" s="1"/>
      <c r="B4" s="1"/>
      <c r="C4" s="4" t="s">
        <v>2</v>
      </c>
      <c r="D4" s="39" t="s">
        <v>3</v>
      </c>
      <c r="E4" s="2" t="s">
        <v>2</v>
      </c>
      <c r="F4" s="2" t="s">
        <v>2</v>
      </c>
      <c r="G4" s="1"/>
      <c r="H4" s="1"/>
    </row>
    <row r="5" spans="1:8" ht="43.5" x14ac:dyDescent="0.35">
      <c r="A5" s="1"/>
      <c r="B5" s="1"/>
      <c r="C5" s="5" t="s">
        <v>4</v>
      </c>
      <c r="D5" s="5" t="s">
        <v>5</v>
      </c>
      <c r="E5" s="5" t="s">
        <v>6</v>
      </c>
      <c r="F5" s="5" t="s">
        <v>7</v>
      </c>
      <c r="G5" s="6"/>
      <c r="H5" s="6"/>
    </row>
    <row r="6" spans="1:8" x14ac:dyDescent="0.35">
      <c r="A6" s="1"/>
      <c r="B6" s="1"/>
      <c r="C6" s="4" t="s">
        <v>8</v>
      </c>
      <c r="D6" s="4" t="s">
        <v>9</v>
      </c>
      <c r="E6" s="4" t="s">
        <v>10</v>
      </c>
      <c r="F6" s="4" t="s">
        <v>11</v>
      </c>
      <c r="G6" s="1"/>
      <c r="H6" s="1"/>
    </row>
    <row r="7" spans="1:8" x14ac:dyDescent="0.35">
      <c r="A7" s="1"/>
      <c r="B7" s="1"/>
      <c r="C7" s="4">
        <v>0</v>
      </c>
      <c r="D7" s="4">
        <v>50.3</v>
      </c>
      <c r="E7" s="2" t="s">
        <v>12</v>
      </c>
      <c r="F7" s="4" t="s">
        <v>12</v>
      </c>
      <c r="G7" s="1"/>
      <c r="H7" s="1"/>
    </row>
    <row r="8" spans="1:8" x14ac:dyDescent="0.35">
      <c r="A8" s="1"/>
      <c r="B8" s="2" t="s">
        <v>27</v>
      </c>
      <c r="C8" s="4">
        <v>200</v>
      </c>
      <c r="D8" s="4">
        <v>51.7</v>
      </c>
      <c r="E8" s="4">
        <f>ABS(D8-$D$7)/100</f>
        <v>1.4000000000000058E-2</v>
      </c>
      <c r="F8" s="7">
        <f>C8*9.8/1000</f>
        <v>1.9600000000000002</v>
      </c>
      <c r="G8" s="1"/>
      <c r="H8" s="1"/>
    </row>
    <row r="9" spans="1:8" x14ac:dyDescent="0.35">
      <c r="A9" s="1"/>
      <c r="B9" s="1"/>
      <c r="C9" s="4">
        <v>250</v>
      </c>
      <c r="D9" s="4">
        <v>52.9</v>
      </c>
      <c r="E9" s="4">
        <f>ABS(D9-$D$7)/100</f>
        <v>2.6000000000000013E-2</v>
      </c>
      <c r="F9" s="7">
        <f>C9*9.8/1000</f>
        <v>2.4500000000000002</v>
      </c>
      <c r="G9" s="1"/>
      <c r="H9" s="1"/>
    </row>
    <row r="10" spans="1:8" x14ac:dyDescent="0.35">
      <c r="A10" s="1"/>
      <c r="B10" s="1"/>
      <c r="C10" s="4">
        <v>300</v>
      </c>
      <c r="D10" s="4">
        <v>54.2</v>
      </c>
      <c r="E10" s="4">
        <f>ABS(D10-$D$7)/100</f>
        <v>3.9000000000000055E-2</v>
      </c>
      <c r="F10" s="7">
        <f>C10*9.8/1000</f>
        <v>2.94</v>
      </c>
      <c r="G10" s="1"/>
      <c r="H10" s="1"/>
    </row>
    <row r="11" spans="1:8" x14ac:dyDescent="0.35">
      <c r="A11" s="1"/>
      <c r="B11" s="1"/>
      <c r="C11" s="4">
        <v>350</v>
      </c>
      <c r="D11" s="4">
        <v>55.3</v>
      </c>
      <c r="E11" s="4">
        <f>ABS(D11-$D$7)/100</f>
        <v>0.05</v>
      </c>
      <c r="F11" s="7">
        <f>C11*9.8/1000</f>
        <v>3.4300000000000006</v>
      </c>
      <c r="G11" s="1"/>
      <c r="H11" s="1"/>
    </row>
    <row r="12" spans="1:8" x14ac:dyDescent="0.35">
      <c r="A12" s="1"/>
      <c r="B12" s="2" t="s">
        <v>28</v>
      </c>
      <c r="C12" s="4">
        <v>400</v>
      </c>
      <c r="D12" s="4">
        <v>56.4</v>
      </c>
      <c r="E12" s="4">
        <f>ABS(D12-$D$7)/100</f>
        <v>6.1000000000000013E-2</v>
      </c>
      <c r="F12" s="7">
        <f>C12*9.8/1000</f>
        <v>3.9200000000000004</v>
      </c>
      <c r="G12" s="1"/>
      <c r="H12" s="1"/>
    </row>
    <row r="13" spans="1:8" x14ac:dyDescent="0.35">
      <c r="A13" s="1"/>
      <c r="B13" s="1"/>
      <c r="C13" s="8"/>
      <c r="D13" s="8"/>
      <c r="E13" s="8"/>
      <c r="F13" s="8"/>
      <c r="G13" s="1"/>
      <c r="H13" s="1"/>
    </row>
    <row r="14" spans="1:8" x14ac:dyDescent="0.35">
      <c r="A14" s="1"/>
      <c r="B14" s="39" t="s">
        <v>29</v>
      </c>
      <c r="C14" s="39"/>
      <c r="D14" s="39"/>
      <c r="E14" s="54" t="s">
        <v>16</v>
      </c>
      <c r="F14" s="54"/>
      <c r="H14" s="2"/>
    </row>
    <row r="15" spans="1:8" ht="17.5" x14ac:dyDescent="0.35">
      <c r="A15" s="1"/>
      <c r="B15" s="4" t="s">
        <v>17</v>
      </c>
      <c r="C15" s="4" t="s">
        <v>18</v>
      </c>
      <c r="D15" s="4" t="s">
        <v>19</v>
      </c>
      <c r="E15" s="4" t="s">
        <v>17</v>
      </c>
      <c r="F15" s="1"/>
      <c r="G15" s="17"/>
      <c r="H15" s="2"/>
    </row>
    <row r="16" spans="1:8" x14ac:dyDescent="0.35">
      <c r="A16" s="1"/>
      <c r="B16" s="40">
        <f>INDEX(LINEST(F8:F12,E8:E12,1,1),1,1)</f>
        <v>41.477761836441935</v>
      </c>
      <c r="C16" s="41">
        <f>INDEX(LINEST(F8:F12,E8:E12,1,1), 1,2)</f>
        <v>1.363845050215206</v>
      </c>
      <c r="D16" s="41">
        <f>INDEX(LINEST(F8:F12,E8:E12,1,1),3,1)</f>
        <v>0.99885222381635586</v>
      </c>
      <c r="E16" s="4">
        <v>40</v>
      </c>
      <c r="F16" s="11"/>
      <c r="G16" s="1"/>
      <c r="H16" s="1"/>
    </row>
    <row r="17" spans="1:8" x14ac:dyDescent="0.35">
      <c r="A17" s="2" t="s">
        <v>20</v>
      </c>
      <c r="B17" s="12">
        <f>INDEX(LINEST(F8:F12,E8:E12,1,1),2,1)</f>
        <v>0.81176938853062353</v>
      </c>
      <c r="C17" s="13">
        <f>INDEX(LINEST(F8:F12,E8:E12,1,1), 2,2)</f>
        <v>3.3693808389371686E-2</v>
      </c>
      <c r="D17" s="13">
        <f>INDEX(LINEST(F8:F12,E8:E12,1,1),3,2)</f>
        <v>3.0308473055840369E-2</v>
      </c>
      <c r="E17" s="14">
        <f>(B16-E16)/E16</f>
        <v>3.6944045911048384E-2</v>
      </c>
      <c r="F17" s="54" t="s">
        <v>21</v>
      </c>
      <c r="G17" s="54"/>
      <c r="H17" s="1"/>
    </row>
    <row r="19" spans="1:8" x14ac:dyDescent="0.35">
      <c r="B19" s="15"/>
      <c r="E19" s="16"/>
      <c r="F19" s="16"/>
    </row>
    <row r="20" spans="1:8" x14ac:dyDescent="0.35">
      <c r="E20" s="16"/>
      <c r="F20" s="16"/>
    </row>
    <row r="21" spans="1:8" x14ac:dyDescent="0.35">
      <c r="E21" s="16"/>
      <c r="F21" s="16"/>
    </row>
  </sheetData>
  <mergeCells count="3">
    <mergeCell ref="B1:D1"/>
    <mergeCell ref="E14:F14"/>
    <mergeCell ref="F17:G17"/>
  </mergeCells>
  <printOptions gridLines="1"/>
  <pageMargins left="0.78736111111111118" right="0.78736111111111118" top="1.1512500000000001" bottom="1.1512500000000001" header="0.78736111111111118" footer="0.78736111111111118"/>
  <pageSetup paperSize="0" fitToWidth="0" fitToHeight="0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6D6D"/>
  </sheetPr>
  <dimension ref="A1:G31"/>
  <sheetViews>
    <sheetView workbookViewId="0">
      <selection activeCell="G44" sqref="G44"/>
    </sheetView>
  </sheetViews>
  <sheetFormatPr defaultRowHeight="14.5" x14ac:dyDescent="0.35"/>
  <cols>
    <col min="1" max="1" width="19.81640625" customWidth="1"/>
    <col min="2" max="2" width="15.90625" customWidth="1"/>
    <col min="3" max="3" width="15" customWidth="1"/>
    <col min="4" max="4" width="16" customWidth="1"/>
    <col min="5" max="5" width="10" customWidth="1"/>
    <col min="6" max="1024" width="8.7265625" customWidth="1"/>
  </cols>
  <sheetData>
    <row r="1" spans="1:7" x14ac:dyDescent="0.35">
      <c r="A1" s="1"/>
      <c r="B1" s="52" t="s">
        <v>30</v>
      </c>
      <c r="C1" s="52"/>
      <c r="D1" s="1"/>
      <c r="E1" s="1"/>
      <c r="F1" s="1"/>
      <c r="G1" s="1"/>
    </row>
    <row r="2" spans="1:7" x14ac:dyDescent="0.35">
      <c r="A2" s="2"/>
      <c r="B2" s="1"/>
      <c r="C2" s="1"/>
      <c r="D2" s="1"/>
      <c r="E2" s="1"/>
      <c r="F2" s="1"/>
      <c r="G2" s="1"/>
    </row>
    <row r="3" spans="1:7" x14ac:dyDescent="0.35">
      <c r="A3" s="2"/>
      <c r="B3" s="56" t="s">
        <v>31</v>
      </c>
      <c r="C3" s="56"/>
      <c r="D3" s="56"/>
      <c r="E3" s="1"/>
      <c r="F3" s="1"/>
      <c r="G3" s="1"/>
    </row>
    <row r="4" spans="1:7" x14ac:dyDescent="0.35">
      <c r="A4" s="1"/>
      <c r="B4" s="1"/>
      <c r="C4" s="1"/>
      <c r="D4" s="1"/>
      <c r="E4" s="1"/>
      <c r="F4" s="1"/>
      <c r="G4" s="1"/>
    </row>
    <row r="5" spans="1:7" x14ac:dyDescent="0.35">
      <c r="A5" s="2"/>
      <c r="B5" s="18" t="s">
        <v>32</v>
      </c>
      <c r="C5" s="4" t="s">
        <v>33</v>
      </c>
      <c r="E5" s="1"/>
      <c r="F5" s="1"/>
      <c r="G5" s="1"/>
    </row>
    <row r="6" spans="1:7" x14ac:dyDescent="0.35">
      <c r="A6" s="3" t="s">
        <v>1</v>
      </c>
      <c r="B6" s="4" t="s">
        <v>34</v>
      </c>
      <c r="C6" s="4" t="s">
        <v>35</v>
      </c>
      <c r="D6" s="1"/>
      <c r="E6" s="1"/>
      <c r="F6" s="1"/>
      <c r="G6" s="1"/>
    </row>
    <row r="7" spans="1:7" x14ac:dyDescent="0.35">
      <c r="A7" s="2"/>
      <c r="B7" s="4" t="s">
        <v>36</v>
      </c>
      <c r="C7" s="4" t="s">
        <v>36</v>
      </c>
      <c r="D7" s="1"/>
      <c r="E7" s="1"/>
      <c r="F7" s="1"/>
      <c r="G7" s="1"/>
    </row>
    <row r="8" spans="1:7" x14ac:dyDescent="0.35">
      <c r="A8" s="1"/>
      <c r="B8" s="4">
        <v>2.7E-2</v>
      </c>
      <c r="C8" s="19">
        <v>0.02</v>
      </c>
      <c r="D8" s="3" t="s">
        <v>37</v>
      </c>
      <c r="E8" s="1"/>
      <c r="F8" s="1"/>
      <c r="G8" s="1"/>
    </row>
    <row r="9" spans="1:7" x14ac:dyDescent="0.35">
      <c r="A9" s="1"/>
      <c r="B9" s="4" t="s">
        <v>38</v>
      </c>
      <c r="C9" s="4" t="s">
        <v>39</v>
      </c>
      <c r="D9" s="8"/>
      <c r="E9" s="1"/>
      <c r="F9" s="1"/>
      <c r="G9" s="1"/>
    </row>
    <row r="10" spans="1:7" x14ac:dyDescent="0.35">
      <c r="A10" s="1"/>
      <c r="B10" s="4"/>
      <c r="C10" s="4"/>
      <c r="D10" s="8"/>
      <c r="E10" s="1"/>
      <c r="F10" s="1"/>
      <c r="G10" s="1"/>
    </row>
    <row r="11" spans="1:7" x14ac:dyDescent="0.35">
      <c r="A11" s="29" t="s">
        <v>40</v>
      </c>
      <c r="B11" s="1"/>
      <c r="C11" s="2" t="s">
        <v>41</v>
      </c>
      <c r="D11" s="1"/>
      <c r="E11" s="1"/>
      <c r="F11" s="1"/>
      <c r="G11" s="1"/>
    </row>
    <row r="12" spans="1:7" x14ac:dyDescent="0.35">
      <c r="A12" s="1"/>
      <c r="B12" s="4" t="s">
        <v>2</v>
      </c>
      <c r="C12" s="4" t="s">
        <v>2</v>
      </c>
      <c r="D12" s="18" t="s">
        <v>3</v>
      </c>
      <c r="E12" s="4" t="s">
        <v>2</v>
      </c>
      <c r="F12" s="1"/>
      <c r="G12" s="1"/>
    </row>
    <row r="13" spans="1:7" ht="29" x14ac:dyDescent="0.35">
      <c r="A13" s="1"/>
      <c r="B13" s="5" t="s">
        <v>42</v>
      </c>
      <c r="C13" s="5" t="s">
        <v>43</v>
      </c>
      <c r="D13" s="5" t="s">
        <v>44</v>
      </c>
      <c r="E13" s="5" t="s">
        <v>45</v>
      </c>
      <c r="F13" s="1"/>
      <c r="G13" s="1"/>
    </row>
    <row r="14" spans="1:7" x14ac:dyDescent="0.35">
      <c r="A14" s="1"/>
      <c r="B14" s="4" t="s">
        <v>8</v>
      </c>
      <c r="C14" s="4" t="s">
        <v>36</v>
      </c>
      <c r="D14" s="4" t="s">
        <v>46</v>
      </c>
      <c r="E14" s="4" t="s">
        <v>47</v>
      </c>
      <c r="F14" s="1"/>
      <c r="G14" s="1"/>
    </row>
    <row r="15" spans="1:7" x14ac:dyDescent="0.35">
      <c r="A15" s="1"/>
      <c r="B15" s="8"/>
      <c r="C15" s="8"/>
      <c r="D15" s="1"/>
      <c r="E15" s="8"/>
      <c r="F15" s="1"/>
      <c r="G15" s="1"/>
    </row>
    <row r="16" spans="1:7" x14ac:dyDescent="0.35">
      <c r="A16" s="20" t="s">
        <v>13</v>
      </c>
      <c r="B16" s="4">
        <v>100</v>
      </c>
      <c r="C16" s="13">
        <f>B16/1000+$B$8/3+$C$8</f>
        <v>0.129</v>
      </c>
      <c r="D16" s="4">
        <v>0.71350000000000002</v>
      </c>
      <c r="E16" s="19">
        <f>D16^2</f>
        <v>0.50908225000000007</v>
      </c>
      <c r="F16" s="1"/>
      <c r="G16" s="1"/>
    </row>
    <row r="17" spans="1:7" x14ac:dyDescent="0.35">
      <c r="A17" s="1"/>
      <c r="B17" s="4">
        <v>150</v>
      </c>
      <c r="C17" s="13">
        <f>B17/1000+$B$8/3+$C$8</f>
        <v>0.17899999999999999</v>
      </c>
      <c r="D17" s="4">
        <v>0.83730000000000004</v>
      </c>
      <c r="E17" s="19">
        <f>D17^2</f>
        <v>0.70107129000000012</v>
      </c>
      <c r="F17" s="1"/>
      <c r="G17" s="1"/>
    </row>
    <row r="18" spans="1:7" x14ac:dyDescent="0.35">
      <c r="A18" s="1"/>
      <c r="B18" s="4">
        <v>200</v>
      </c>
      <c r="C18" s="13">
        <f>B18/1000+$B$8/3+$C$8</f>
        <v>0.22900000000000001</v>
      </c>
      <c r="D18" s="4">
        <v>0.95030000000000003</v>
      </c>
      <c r="E18" s="19">
        <f>D18^2</f>
        <v>0.90307009000000005</v>
      </c>
      <c r="F18" s="1"/>
      <c r="G18" s="1"/>
    </row>
    <row r="19" spans="1:7" x14ac:dyDescent="0.35">
      <c r="A19" s="1"/>
      <c r="B19" s="4">
        <v>250</v>
      </c>
      <c r="C19" s="13">
        <f>B19/1000+$B$8/3+$C$8</f>
        <v>0.27900000000000003</v>
      </c>
      <c r="D19" s="4">
        <v>1.048</v>
      </c>
      <c r="E19" s="19">
        <f>D19^2</f>
        <v>1.0983040000000002</v>
      </c>
      <c r="F19" s="1"/>
      <c r="G19" s="1"/>
    </row>
    <row r="20" spans="1:7" x14ac:dyDescent="0.35">
      <c r="A20" s="20" t="s">
        <v>14</v>
      </c>
      <c r="B20" s="4">
        <v>300</v>
      </c>
      <c r="C20" s="13">
        <f>B20/1000+$B$8/3+$C$8</f>
        <v>0.32900000000000001</v>
      </c>
      <c r="D20" s="4">
        <v>1.1379999999999999</v>
      </c>
      <c r="E20" s="19">
        <f>D20^2</f>
        <v>1.2950439999999999</v>
      </c>
      <c r="F20" s="1"/>
      <c r="G20" s="1"/>
    </row>
    <row r="21" spans="1:7" x14ac:dyDescent="0.35">
      <c r="A21" s="1"/>
      <c r="B21" s="1"/>
      <c r="C21" s="1"/>
      <c r="D21" s="1"/>
      <c r="E21" s="1"/>
      <c r="F21" s="1"/>
      <c r="G21" s="1"/>
    </row>
    <row r="22" spans="1:7" x14ac:dyDescent="0.35">
      <c r="A22" s="1"/>
      <c r="B22" s="53" t="s">
        <v>48</v>
      </c>
      <c r="C22" s="53"/>
      <c r="D22" s="57" t="s">
        <v>49</v>
      </c>
      <c r="E22" s="57"/>
      <c r="F22" s="53" t="s">
        <v>50</v>
      </c>
      <c r="G22" s="53"/>
    </row>
    <row r="23" spans="1:7" ht="17.5" x14ac:dyDescent="0.35">
      <c r="A23" s="1"/>
      <c r="B23" s="4" t="s">
        <v>17</v>
      </c>
      <c r="C23" s="4" t="s">
        <v>19</v>
      </c>
      <c r="D23" s="4" t="s">
        <v>17</v>
      </c>
      <c r="E23" s="4" t="s">
        <v>19</v>
      </c>
      <c r="F23" s="4" t="s">
        <v>17</v>
      </c>
      <c r="G23" s="1"/>
    </row>
    <row r="24" spans="1:7" x14ac:dyDescent="0.35">
      <c r="A24" s="1"/>
      <c r="B24" s="9">
        <f>4*PI()^2/INDEX(LINEST(E16:E20,C16:C20,0,1),1,1)</f>
        <v>10.029874307173607</v>
      </c>
      <c r="C24" s="21">
        <f>INDEX(LINEST(E16:E20,C16:C20,0,1),3,1)</f>
        <v>0.99999621008821438</v>
      </c>
      <c r="D24" s="9">
        <f>'Red static values'!B16</f>
        <v>9.9591850223904004</v>
      </c>
      <c r="E24" s="10">
        <f>'Red static values'!D16</f>
        <v>0.99998347571756696</v>
      </c>
      <c r="F24" s="18">
        <v>10</v>
      </c>
      <c r="G24" s="1"/>
    </row>
    <row r="25" spans="1:7" x14ac:dyDescent="0.35">
      <c r="A25" s="20" t="s">
        <v>20</v>
      </c>
      <c r="B25" s="12">
        <f>-$B$24*INDEX(LINEST(E16:E20,C16:C20,0,1),2,1)/INDEX(LINEST(E16:E20,C16:C20,0,1),1,1)</f>
        <v>-9.7629455809630939E-3</v>
      </c>
      <c r="C25" s="13">
        <f>INDEX(LINEST(E16:E20,C16:C20,0,1),3,2)</f>
        <v>2.0532679223655413E-3</v>
      </c>
      <c r="D25" s="12">
        <f>'Red static values'!B17</f>
        <v>2.3373732331651478E-2</v>
      </c>
      <c r="E25" s="13">
        <f>'Red static values'!D17</f>
        <v>3.6366102403986118E-3</v>
      </c>
      <c r="F25" s="14" t="s">
        <v>51</v>
      </c>
      <c r="G25" s="1"/>
    </row>
    <row r="26" spans="1:7" x14ac:dyDescent="0.35">
      <c r="A26" s="2" t="s">
        <v>21</v>
      </c>
      <c r="B26" s="14">
        <f>(B24-$F$24)/$F$24</f>
        <v>2.9874307173606953E-3</v>
      </c>
      <c r="C26" s="2" t="s">
        <v>52</v>
      </c>
      <c r="D26" s="14">
        <f>(D24-$F$24)/$F$24</f>
        <v>-4.0814977609599625E-3</v>
      </c>
      <c r="E26" s="2" t="s">
        <v>53</v>
      </c>
      <c r="F26" s="4" t="s">
        <v>54</v>
      </c>
      <c r="G26" s="1"/>
    </row>
    <row r="27" spans="1:7" x14ac:dyDescent="0.35">
      <c r="A27" s="2" t="s">
        <v>55</v>
      </c>
      <c r="B27" s="14">
        <f>2*(B24-D24)/(B24+D24)</f>
        <v>7.0727975356655679E-3</v>
      </c>
      <c r="C27" s="2" t="s">
        <v>52</v>
      </c>
      <c r="D27" s="2" t="s">
        <v>56</v>
      </c>
      <c r="E27" s="2" t="s">
        <v>53</v>
      </c>
      <c r="F27" s="4" t="s">
        <v>54</v>
      </c>
      <c r="G27" s="1"/>
    </row>
    <row r="29" spans="1:7" x14ac:dyDescent="0.35">
      <c r="A29" s="22"/>
      <c r="B29" s="23"/>
      <c r="D29" s="22"/>
    </row>
    <row r="30" spans="1:7" x14ac:dyDescent="0.35">
      <c r="B30" s="23"/>
      <c r="D30" s="23"/>
      <c r="F30" s="24"/>
    </row>
    <row r="31" spans="1:7" x14ac:dyDescent="0.35">
      <c r="B31" s="23"/>
      <c r="D31" s="23"/>
    </row>
  </sheetData>
  <mergeCells count="5">
    <mergeCell ref="B1:C1"/>
    <mergeCell ref="B3:D3"/>
    <mergeCell ref="B22:C22"/>
    <mergeCell ref="D22:E22"/>
    <mergeCell ref="F22:G22"/>
  </mergeCells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DB5E3"/>
  </sheetPr>
  <dimension ref="A1:G31"/>
  <sheetViews>
    <sheetView workbookViewId="0">
      <selection activeCell="G46" sqref="G46"/>
    </sheetView>
  </sheetViews>
  <sheetFormatPr defaultRowHeight="14.5" x14ac:dyDescent="0.35"/>
  <cols>
    <col min="1" max="1" width="19.81640625" customWidth="1"/>
    <col min="2" max="2" width="15.90625" customWidth="1"/>
    <col min="3" max="3" width="15" customWidth="1"/>
    <col min="4" max="4" width="15.08984375" customWidth="1"/>
    <col min="5" max="5" width="10" customWidth="1"/>
    <col min="6" max="1024" width="8.7265625" customWidth="1"/>
  </cols>
  <sheetData>
    <row r="1" spans="1:7" x14ac:dyDescent="0.35">
      <c r="A1" s="1"/>
      <c r="B1" s="52" t="s">
        <v>30</v>
      </c>
      <c r="C1" s="52"/>
      <c r="D1" s="1"/>
      <c r="E1" s="1"/>
      <c r="F1" s="1"/>
      <c r="G1" s="1"/>
    </row>
    <row r="2" spans="1:7" x14ac:dyDescent="0.35">
      <c r="A2" s="2"/>
      <c r="B2" s="1"/>
      <c r="C2" s="1"/>
      <c r="D2" s="1"/>
      <c r="E2" s="1"/>
      <c r="F2" s="1"/>
      <c r="G2" s="1"/>
    </row>
    <row r="3" spans="1:7" x14ac:dyDescent="0.35">
      <c r="A3" s="2"/>
      <c r="B3" s="56" t="s">
        <v>31</v>
      </c>
      <c r="C3" s="56"/>
      <c r="D3" s="56"/>
      <c r="E3" s="1"/>
      <c r="F3" s="1"/>
      <c r="G3" s="1"/>
    </row>
    <row r="4" spans="1:7" x14ac:dyDescent="0.35">
      <c r="A4" s="1"/>
      <c r="B4" s="1"/>
      <c r="C4" s="1"/>
      <c r="D4" s="1"/>
      <c r="E4" s="1"/>
      <c r="F4" s="1"/>
      <c r="G4" s="1"/>
    </row>
    <row r="5" spans="1:7" x14ac:dyDescent="0.35">
      <c r="A5" s="2"/>
      <c r="B5" s="48" t="s">
        <v>32</v>
      </c>
      <c r="C5" s="4" t="s">
        <v>33</v>
      </c>
      <c r="E5" s="1"/>
      <c r="F5" s="1"/>
      <c r="G5" s="1"/>
    </row>
    <row r="6" spans="1:7" x14ac:dyDescent="0.35">
      <c r="A6" s="46" t="s">
        <v>22</v>
      </c>
      <c r="B6" s="4" t="s">
        <v>34</v>
      </c>
      <c r="C6" s="4" t="s">
        <v>35</v>
      </c>
      <c r="D6" s="1"/>
      <c r="E6" s="1"/>
      <c r="F6" s="1"/>
      <c r="G6" s="1"/>
    </row>
    <row r="7" spans="1:7" x14ac:dyDescent="0.35">
      <c r="A7" s="2"/>
      <c r="B7" s="4" t="s">
        <v>36</v>
      </c>
      <c r="C7" s="4" t="s">
        <v>36</v>
      </c>
      <c r="D7" s="1"/>
      <c r="E7" s="1"/>
      <c r="F7" s="1"/>
      <c r="G7" s="1"/>
    </row>
    <row r="8" spans="1:7" x14ac:dyDescent="0.35">
      <c r="A8" s="1"/>
      <c r="B8" s="4">
        <v>3.1E-2</v>
      </c>
      <c r="C8" s="19">
        <v>0.02</v>
      </c>
      <c r="D8" s="46" t="s">
        <v>37</v>
      </c>
      <c r="E8" s="1"/>
      <c r="F8" s="1"/>
      <c r="G8" s="1"/>
    </row>
    <row r="9" spans="1:7" x14ac:dyDescent="0.35">
      <c r="A9" s="1"/>
      <c r="B9" s="4" t="s">
        <v>57</v>
      </c>
      <c r="C9" s="4" t="s">
        <v>39</v>
      </c>
      <c r="D9" s="8"/>
      <c r="E9" s="1"/>
      <c r="F9" s="1"/>
      <c r="G9" s="1"/>
    </row>
    <row r="10" spans="1:7" x14ac:dyDescent="0.35">
      <c r="A10" s="1"/>
      <c r="B10" s="4"/>
      <c r="C10" s="4"/>
      <c r="D10" s="8"/>
      <c r="E10" s="1"/>
      <c r="F10" s="1"/>
      <c r="G10" s="1"/>
    </row>
    <row r="11" spans="1:7" x14ac:dyDescent="0.35">
      <c r="A11" s="2" t="s">
        <v>40</v>
      </c>
      <c r="B11" s="1"/>
      <c r="C11" s="2" t="s">
        <v>41</v>
      </c>
      <c r="D11" s="1"/>
      <c r="E11" s="1"/>
      <c r="F11" s="1"/>
      <c r="G11" s="1"/>
    </row>
    <row r="12" spans="1:7" x14ac:dyDescent="0.35">
      <c r="A12" s="1"/>
      <c r="B12" s="4" t="s">
        <v>2</v>
      </c>
      <c r="C12" s="4" t="s">
        <v>2</v>
      </c>
      <c r="D12" s="48" t="s">
        <v>3</v>
      </c>
      <c r="E12" s="4" t="s">
        <v>2</v>
      </c>
      <c r="F12" s="1"/>
      <c r="G12" s="1"/>
    </row>
    <row r="13" spans="1:7" ht="29" x14ac:dyDescent="0.35">
      <c r="A13" s="1"/>
      <c r="B13" s="5" t="s">
        <v>42</v>
      </c>
      <c r="C13" s="5" t="s">
        <v>43</v>
      </c>
      <c r="D13" s="5" t="s">
        <v>44</v>
      </c>
      <c r="E13" s="5" t="s">
        <v>45</v>
      </c>
      <c r="F13" s="1"/>
      <c r="G13" s="1"/>
    </row>
    <row r="14" spans="1:7" x14ac:dyDescent="0.35">
      <c r="A14" s="1"/>
      <c r="B14" s="4" t="s">
        <v>8</v>
      </c>
      <c r="C14" s="4" t="s">
        <v>36</v>
      </c>
      <c r="D14" s="4" t="s">
        <v>46</v>
      </c>
      <c r="E14" s="4" t="s">
        <v>47</v>
      </c>
      <c r="F14" s="1"/>
      <c r="G14" s="1"/>
    </row>
    <row r="15" spans="1:7" x14ac:dyDescent="0.35">
      <c r="A15" s="1"/>
      <c r="B15" s="8"/>
      <c r="C15" s="8"/>
      <c r="D15" s="1"/>
      <c r="E15" s="8"/>
      <c r="F15" s="1"/>
      <c r="G15" s="1"/>
    </row>
    <row r="16" spans="1:7" x14ac:dyDescent="0.35">
      <c r="A16" s="20" t="s">
        <v>23</v>
      </c>
      <c r="B16" s="4">
        <v>150</v>
      </c>
      <c r="C16" s="13">
        <f>B16/1000+$B$8/3+$C$8</f>
        <v>0.18033333333333332</v>
      </c>
      <c r="D16" s="4">
        <v>0.60219999999999996</v>
      </c>
      <c r="E16" s="19">
        <f>D16^2</f>
        <v>0.36264483999999997</v>
      </c>
      <c r="F16" s="1"/>
      <c r="G16" s="1"/>
    </row>
    <row r="17" spans="1:7" x14ac:dyDescent="0.35">
      <c r="A17" s="1"/>
      <c r="B17" s="4">
        <v>200</v>
      </c>
      <c r="C17" s="13">
        <f>B17/1000+$B$8/3+$C$8</f>
        <v>0.23033333333333333</v>
      </c>
      <c r="D17" s="4">
        <v>0.67989999999999995</v>
      </c>
      <c r="E17" s="19">
        <f>D17^2</f>
        <v>0.46226400999999995</v>
      </c>
      <c r="F17" s="1"/>
      <c r="G17" s="1"/>
    </row>
    <row r="18" spans="1:7" x14ac:dyDescent="0.35">
      <c r="A18" s="1"/>
      <c r="B18" s="4">
        <v>250</v>
      </c>
      <c r="C18" s="13">
        <f>B18/1000+$B$8/3+$C$8</f>
        <v>0.28033333333333332</v>
      </c>
      <c r="D18" s="4">
        <v>0.74990000000000001</v>
      </c>
      <c r="E18" s="19">
        <f>D18^2</f>
        <v>0.56235001000000007</v>
      </c>
      <c r="F18" s="1"/>
      <c r="G18" s="1"/>
    </row>
    <row r="19" spans="1:7" x14ac:dyDescent="0.35">
      <c r="A19" s="1"/>
      <c r="B19" s="4">
        <v>300</v>
      </c>
      <c r="C19" s="13">
        <f>B19/1000+$B$8/3+$C$8</f>
        <v>0.33033333333333337</v>
      </c>
      <c r="D19" s="4">
        <v>0.81430000000000002</v>
      </c>
      <c r="E19" s="19">
        <f>D19^2</f>
        <v>0.66308449000000003</v>
      </c>
      <c r="F19" s="1"/>
      <c r="G19" s="1"/>
    </row>
    <row r="20" spans="1:7" x14ac:dyDescent="0.35">
      <c r="A20" s="20" t="s">
        <v>24</v>
      </c>
      <c r="B20" s="4">
        <v>350</v>
      </c>
      <c r="C20" s="13">
        <f>B20/1000+$B$8/3+$C$8</f>
        <v>0.3803333333333333</v>
      </c>
      <c r="D20" s="4">
        <v>0.87339999999999995</v>
      </c>
      <c r="E20" s="19">
        <f>D20^2</f>
        <v>0.76282755999999996</v>
      </c>
      <c r="F20" s="1"/>
      <c r="G20" s="1"/>
    </row>
    <row r="21" spans="1:7" x14ac:dyDescent="0.35">
      <c r="A21" s="1"/>
      <c r="B21" s="1"/>
      <c r="C21" s="1"/>
      <c r="D21" s="1"/>
      <c r="E21" s="1"/>
      <c r="F21" s="1"/>
      <c r="G21" s="1"/>
    </row>
    <row r="22" spans="1:7" x14ac:dyDescent="0.35">
      <c r="A22" s="1"/>
      <c r="B22" s="55" t="s">
        <v>58</v>
      </c>
      <c r="C22" s="55"/>
      <c r="D22" s="58" t="s">
        <v>49</v>
      </c>
      <c r="E22" s="58"/>
      <c r="F22" s="55" t="s">
        <v>50</v>
      </c>
      <c r="G22" s="55"/>
    </row>
    <row r="23" spans="1:7" ht="17.5" x14ac:dyDescent="0.35">
      <c r="A23" s="1"/>
      <c r="B23" s="4" t="s">
        <v>17</v>
      </c>
      <c r="C23" s="4" t="s">
        <v>19</v>
      </c>
      <c r="D23" s="4" t="s">
        <v>17</v>
      </c>
      <c r="E23" s="4" t="s">
        <v>19</v>
      </c>
      <c r="F23" s="4" t="s">
        <v>17</v>
      </c>
      <c r="G23" s="1"/>
    </row>
    <row r="24" spans="1:7" x14ac:dyDescent="0.35">
      <c r="A24" s="1"/>
      <c r="B24" s="36">
        <f>4*PI()^2/INDEX(LINEST(E16:E20,C16:C20,0,1),1,1)</f>
        <v>19.672905878565032</v>
      </c>
      <c r="C24" s="49">
        <f>INDEX(LINEST(E16:E20,C16:C20,0,1),3,1)</f>
        <v>0.99999950985816066</v>
      </c>
      <c r="D24" s="36">
        <f>'Blue static values'!B16</f>
        <v>19.600000000000005</v>
      </c>
      <c r="E24" s="37">
        <f>'Blue static values'!D16</f>
        <v>1</v>
      </c>
      <c r="F24" s="48">
        <v>20</v>
      </c>
      <c r="G24" s="1"/>
    </row>
    <row r="25" spans="1:7" x14ac:dyDescent="0.35">
      <c r="A25" s="20" t="s">
        <v>20</v>
      </c>
      <c r="B25" s="12">
        <f>-$B$24*INDEX(LINEST(E16:E20,C16:C20,0,1),2,1)/INDEX(LINEST(E16:E20,C16:C20,0,1),1,1)</f>
        <v>-6.8865152413410211E-3</v>
      </c>
      <c r="C25" s="13">
        <f>INDEX(LINEST(E16:E20,C16:C20,0,1),3,2)</f>
        <v>4.5412563219582915E-4</v>
      </c>
      <c r="D25" s="12">
        <f>'Blue static values'!B17</f>
        <v>3.9720546451956362E-15</v>
      </c>
      <c r="E25" s="13">
        <f>'Blue static values'!D17</f>
        <v>3.1401849173675503E-16</v>
      </c>
      <c r="F25" s="14" t="s">
        <v>51</v>
      </c>
      <c r="G25" s="1"/>
    </row>
    <row r="26" spans="1:7" x14ac:dyDescent="0.35">
      <c r="A26" s="2" t="s">
        <v>21</v>
      </c>
      <c r="B26" s="14">
        <f>(B24-$F$24)/$F$24</f>
        <v>-1.6354706071748382E-2</v>
      </c>
      <c r="C26" s="2" t="s">
        <v>52</v>
      </c>
      <c r="D26" s="14">
        <f>(D24-$F$24)/$F$24</f>
        <v>-1.9999999999999751E-2</v>
      </c>
      <c r="E26" s="2" t="s">
        <v>53</v>
      </c>
      <c r="F26" s="4" t="s">
        <v>54</v>
      </c>
      <c r="G26" s="1"/>
    </row>
    <row r="27" spans="1:7" x14ac:dyDescent="0.35">
      <c r="A27" s="2" t="s">
        <v>55</v>
      </c>
      <c r="B27" s="14">
        <f>2*(B24-D24)/(B24+D24)</f>
        <v>3.7127824862493337E-3</v>
      </c>
      <c r="C27" s="2" t="s">
        <v>52</v>
      </c>
      <c r="D27" s="2" t="s">
        <v>56</v>
      </c>
      <c r="E27" s="2" t="s">
        <v>53</v>
      </c>
      <c r="F27" s="4" t="s">
        <v>54</v>
      </c>
      <c r="G27" s="1"/>
    </row>
    <row r="29" spans="1:7" x14ac:dyDescent="0.35">
      <c r="A29" s="22"/>
      <c r="B29" s="23"/>
      <c r="D29" s="22"/>
    </row>
    <row r="30" spans="1:7" x14ac:dyDescent="0.35">
      <c r="B30" s="23"/>
      <c r="D30" s="23"/>
      <c r="F30" s="24"/>
    </row>
    <row r="31" spans="1:7" x14ac:dyDescent="0.35">
      <c r="B31" s="23"/>
      <c r="D31" s="23"/>
    </row>
  </sheetData>
  <mergeCells count="5">
    <mergeCell ref="B1:C1"/>
    <mergeCell ref="B3:D3"/>
    <mergeCell ref="B22:C22"/>
    <mergeCell ref="D22:E22"/>
    <mergeCell ref="F22:G22"/>
  </mergeCells>
  <pageMargins left="0.7" right="0.7" top="1.1437499999999998" bottom="1.1437499999999998" header="0.75" footer="0.75"/>
  <pageSetup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1DB83"/>
  </sheetPr>
  <dimension ref="A1:G31"/>
  <sheetViews>
    <sheetView workbookViewId="0">
      <selection activeCell="G44" sqref="G44"/>
    </sheetView>
  </sheetViews>
  <sheetFormatPr defaultRowHeight="14.5" x14ac:dyDescent="0.35"/>
  <cols>
    <col min="1" max="1" width="19.81640625" customWidth="1"/>
    <col min="2" max="2" width="15.90625" customWidth="1"/>
    <col min="3" max="3" width="15" customWidth="1"/>
    <col min="4" max="4" width="15.08984375" customWidth="1"/>
    <col min="5" max="5" width="10" customWidth="1"/>
    <col min="6" max="1024" width="8.7265625" customWidth="1"/>
  </cols>
  <sheetData>
    <row r="1" spans="1:7" x14ac:dyDescent="0.35">
      <c r="A1" s="1"/>
      <c r="B1" s="52" t="s">
        <v>30</v>
      </c>
      <c r="C1" s="52"/>
      <c r="D1" s="1"/>
      <c r="E1" s="1"/>
      <c r="F1" s="1"/>
      <c r="G1" s="1"/>
    </row>
    <row r="2" spans="1:7" x14ac:dyDescent="0.35">
      <c r="A2" s="2"/>
      <c r="B2" s="1"/>
      <c r="C2" s="1"/>
      <c r="D2" s="1"/>
      <c r="E2" s="1"/>
      <c r="F2" s="1"/>
      <c r="G2" s="1"/>
    </row>
    <row r="3" spans="1:7" x14ac:dyDescent="0.35">
      <c r="A3" s="2"/>
      <c r="B3" s="56" t="s">
        <v>31</v>
      </c>
      <c r="C3" s="56"/>
      <c r="D3" s="56"/>
      <c r="E3" s="1"/>
      <c r="F3" s="1"/>
      <c r="G3" s="1"/>
    </row>
    <row r="4" spans="1:7" x14ac:dyDescent="0.35">
      <c r="A4" s="1"/>
      <c r="B4" s="1"/>
      <c r="C4" s="1"/>
      <c r="D4" s="1"/>
      <c r="E4" s="1"/>
      <c r="F4" s="1"/>
      <c r="G4" s="1"/>
    </row>
    <row r="5" spans="1:7" x14ac:dyDescent="0.35">
      <c r="A5" s="2"/>
      <c r="B5" s="44" t="s">
        <v>32</v>
      </c>
      <c r="C5" s="4" t="s">
        <v>33</v>
      </c>
      <c r="E5" s="1"/>
      <c r="F5" s="1"/>
      <c r="G5" s="1"/>
    </row>
    <row r="6" spans="1:7" x14ac:dyDescent="0.35">
      <c r="A6" s="39" t="s">
        <v>26</v>
      </c>
      <c r="B6" s="4" t="s">
        <v>34</v>
      </c>
      <c r="C6" s="4" t="s">
        <v>35</v>
      </c>
      <c r="D6" s="1"/>
      <c r="E6" s="1"/>
      <c r="F6" s="1"/>
      <c r="G6" s="1"/>
    </row>
    <row r="7" spans="1:7" x14ac:dyDescent="0.35">
      <c r="A7" s="2"/>
      <c r="B7" s="4" t="s">
        <v>36</v>
      </c>
      <c r="C7" s="4" t="s">
        <v>36</v>
      </c>
      <c r="D7" s="1"/>
      <c r="E7" s="1"/>
      <c r="F7" s="1"/>
      <c r="G7" s="1"/>
    </row>
    <row r="8" spans="1:7" x14ac:dyDescent="0.35">
      <c r="A8" s="1"/>
      <c r="B8" s="4">
        <v>3.2000000000000001E-2</v>
      </c>
      <c r="C8" s="19">
        <v>0.02</v>
      </c>
      <c r="D8" s="39" t="s">
        <v>37</v>
      </c>
      <c r="E8" s="1"/>
      <c r="F8" s="1"/>
      <c r="G8" s="1"/>
    </row>
    <row r="9" spans="1:7" x14ac:dyDescent="0.35">
      <c r="A9" s="1"/>
      <c r="B9" s="4" t="s">
        <v>59</v>
      </c>
      <c r="C9" s="4" t="s">
        <v>39</v>
      </c>
      <c r="D9" s="8"/>
      <c r="E9" s="1"/>
      <c r="F9" s="1"/>
      <c r="G9" s="1"/>
    </row>
    <row r="10" spans="1:7" x14ac:dyDescent="0.35">
      <c r="A10" s="1"/>
      <c r="B10" s="4"/>
      <c r="C10" s="4"/>
      <c r="D10" s="8"/>
      <c r="E10" s="1"/>
      <c r="F10" s="1"/>
      <c r="G10" s="1"/>
    </row>
    <row r="11" spans="1:7" x14ac:dyDescent="0.35">
      <c r="A11" s="2" t="s">
        <v>40</v>
      </c>
      <c r="B11" s="1"/>
      <c r="C11" s="2" t="s">
        <v>41</v>
      </c>
      <c r="D11" s="1"/>
      <c r="E11" s="1"/>
      <c r="F11" s="1"/>
      <c r="G11" s="1"/>
    </row>
    <row r="12" spans="1:7" x14ac:dyDescent="0.35">
      <c r="A12" s="1"/>
      <c r="B12" s="4" t="s">
        <v>2</v>
      </c>
      <c r="C12" s="4" t="s">
        <v>2</v>
      </c>
      <c r="D12" s="44" t="s">
        <v>3</v>
      </c>
      <c r="E12" s="4" t="s">
        <v>2</v>
      </c>
      <c r="F12" s="1"/>
      <c r="G12" s="1"/>
    </row>
    <row r="13" spans="1:7" ht="29" x14ac:dyDescent="0.35">
      <c r="A13" s="1"/>
      <c r="B13" s="5" t="s">
        <v>42</v>
      </c>
      <c r="C13" s="5" t="s">
        <v>43</v>
      </c>
      <c r="D13" s="5" t="s">
        <v>44</v>
      </c>
      <c r="E13" s="5" t="s">
        <v>45</v>
      </c>
      <c r="F13" s="1"/>
      <c r="G13" s="1"/>
    </row>
    <row r="14" spans="1:7" x14ac:dyDescent="0.35">
      <c r="A14" s="1"/>
      <c r="B14" s="4" t="s">
        <v>8</v>
      </c>
      <c r="C14" s="4" t="s">
        <v>36</v>
      </c>
      <c r="D14" s="4" t="s">
        <v>46</v>
      </c>
      <c r="E14" s="4" t="s">
        <v>47</v>
      </c>
      <c r="F14" s="1"/>
      <c r="G14" s="1"/>
    </row>
    <row r="15" spans="1:7" x14ac:dyDescent="0.35">
      <c r="A15" s="1"/>
      <c r="B15" s="8"/>
      <c r="C15" s="8"/>
      <c r="D15" s="1"/>
      <c r="E15" s="8"/>
      <c r="F15" s="1"/>
      <c r="G15" s="1"/>
    </row>
    <row r="16" spans="1:7" x14ac:dyDescent="0.35">
      <c r="A16" s="20" t="s">
        <v>27</v>
      </c>
      <c r="B16" s="4">
        <v>250</v>
      </c>
      <c r="C16" s="13">
        <f>B16/1000+$B$8/3+$C$8</f>
        <v>0.28066666666666668</v>
      </c>
      <c r="D16" s="4">
        <v>0.52439999999999998</v>
      </c>
      <c r="E16" s="19">
        <f>D16^2</f>
        <v>0.27499535999999997</v>
      </c>
      <c r="F16" s="1"/>
      <c r="G16" s="1"/>
    </row>
    <row r="17" spans="1:7" x14ac:dyDescent="0.35">
      <c r="A17" s="1"/>
      <c r="B17" s="4">
        <v>300</v>
      </c>
      <c r="C17" s="13">
        <f>B17/1000+$B$8/3+$C$8</f>
        <v>0.33066666666666666</v>
      </c>
      <c r="D17" s="4">
        <v>0.56869999999999998</v>
      </c>
      <c r="E17" s="19">
        <f>D17^2</f>
        <v>0.32341968999999998</v>
      </c>
      <c r="F17" s="1"/>
      <c r="G17" s="1"/>
    </row>
    <row r="18" spans="1:7" x14ac:dyDescent="0.35">
      <c r="A18" s="1"/>
      <c r="B18" s="4">
        <v>350</v>
      </c>
      <c r="C18" s="13">
        <f>B18/1000+$B$8/3+$C$8</f>
        <v>0.38066666666666665</v>
      </c>
      <c r="D18" s="4">
        <v>0.61</v>
      </c>
      <c r="E18" s="19">
        <f>D18^2</f>
        <v>0.37209999999999999</v>
      </c>
      <c r="F18" s="1"/>
      <c r="G18" s="1"/>
    </row>
    <row r="19" spans="1:7" x14ac:dyDescent="0.35">
      <c r="A19" s="1"/>
      <c r="B19" s="4">
        <v>400</v>
      </c>
      <c r="C19" s="13">
        <f>B19/1000+$B$8/3+$C$8</f>
        <v>0.4306666666666667</v>
      </c>
      <c r="D19" s="4">
        <v>0.64900000000000002</v>
      </c>
      <c r="E19" s="19">
        <f>D19^2</f>
        <v>0.42120100000000005</v>
      </c>
      <c r="F19" s="1"/>
      <c r="G19" s="1"/>
    </row>
    <row r="20" spans="1:7" x14ac:dyDescent="0.35">
      <c r="A20" s="20" t="s">
        <v>28</v>
      </c>
      <c r="B20" s="4">
        <v>450</v>
      </c>
      <c r="C20" s="13">
        <f>B20/1000+$B$8/3+$C$8</f>
        <v>0.48066666666666669</v>
      </c>
      <c r="D20" s="4">
        <v>0.6855</v>
      </c>
      <c r="E20" s="19">
        <f>D20^2</f>
        <v>0.46991024999999997</v>
      </c>
      <c r="F20" s="1"/>
      <c r="G20" s="1"/>
    </row>
    <row r="21" spans="1:7" x14ac:dyDescent="0.35">
      <c r="A21" s="1"/>
      <c r="B21" s="1"/>
      <c r="C21" s="1"/>
      <c r="D21" s="1"/>
      <c r="E21" s="1"/>
      <c r="F21" s="1"/>
      <c r="G21" s="1"/>
    </row>
    <row r="22" spans="1:7" x14ac:dyDescent="0.35">
      <c r="A22" s="1"/>
      <c r="B22" s="59" t="s">
        <v>60</v>
      </c>
      <c r="C22" s="59"/>
      <c r="D22" s="60" t="s">
        <v>49</v>
      </c>
      <c r="E22" s="60"/>
      <c r="F22" s="59" t="s">
        <v>50</v>
      </c>
      <c r="G22" s="59"/>
    </row>
    <row r="23" spans="1:7" ht="17.5" x14ac:dyDescent="0.35">
      <c r="A23" s="1"/>
      <c r="B23" s="4" t="s">
        <v>17</v>
      </c>
      <c r="C23" s="4" t="s">
        <v>19</v>
      </c>
      <c r="D23" s="4" t="s">
        <v>17</v>
      </c>
      <c r="E23" s="4" t="s">
        <v>19</v>
      </c>
      <c r="F23" s="4" t="s">
        <v>17</v>
      </c>
      <c r="G23" s="1"/>
    </row>
    <row r="24" spans="1:7" x14ac:dyDescent="0.35">
      <c r="A24" s="1"/>
      <c r="B24" s="40">
        <f>4*PI()^2/INDEX(LINEST(E16:E20,C16:C20,0,1),1,1)</f>
        <v>40.366818315874482</v>
      </c>
      <c r="C24" s="45">
        <f>INDEX(LINEST(E16:E20,C16:C20,0,1),3,1)</f>
        <v>0.99999954796682877</v>
      </c>
      <c r="D24" s="40">
        <f>'Green static values'!B16</f>
        <v>41.477761836441935</v>
      </c>
      <c r="E24" s="41">
        <f>'Green static values'!D16</f>
        <v>0.99885222381635586</v>
      </c>
      <c r="F24" s="44">
        <v>40</v>
      </c>
      <c r="G24" s="1"/>
    </row>
    <row r="25" spans="1:7" x14ac:dyDescent="0.35">
      <c r="A25" s="20" t="s">
        <v>20</v>
      </c>
      <c r="B25" s="12">
        <f>-$B$24*INDEX(LINEST(E16:E20,C16:C20,0,1),2,1)/INDEX(LINEST(E16:E20,C16:C20,0,1),1,1)</f>
        <v>-1.3569997736237497E-2</v>
      </c>
      <c r="C25" s="13">
        <f>INDEX(LINEST(E16:E20,C16:C20,0,1),3,2)</f>
        <v>2.8463387910739708E-4</v>
      </c>
      <c r="D25" s="12">
        <f>'Green static values'!B17</f>
        <v>0.81176938853062353</v>
      </c>
      <c r="E25" s="13">
        <f>'Green static values'!D17</f>
        <v>3.0308473055840369E-2</v>
      </c>
      <c r="F25" s="14" t="s">
        <v>51</v>
      </c>
      <c r="G25" s="1"/>
    </row>
    <row r="26" spans="1:7" x14ac:dyDescent="0.35">
      <c r="A26" s="2" t="s">
        <v>21</v>
      </c>
      <c r="B26" s="14">
        <f>(B24-$F$24)/$F$24</f>
        <v>9.1704578968620602E-3</v>
      </c>
      <c r="C26" s="2" t="s">
        <v>52</v>
      </c>
      <c r="D26" s="14">
        <f>(D24-$F$24)/$F$24</f>
        <v>3.6944045911048384E-2</v>
      </c>
      <c r="E26" s="2" t="s">
        <v>53</v>
      </c>
      <c r="F26" s="4" t="s">
        <v>54</v>
      </c>
      <c r="G26" s="1"/>
    </row>
    <row r="27" spans="1:7" x14ac:dyDescent="0.35">
      <c r="A27" s="2" t="s">
        <v>55</v>
      </c>
      <c r="B27" s="14">
        <f>2*(B24-D24)/(B24+D24)</f>
        <v>-2.7147638084279682E-2</v>
      </c>
      <c r="C27" s="2" t="s">
        <v>52</v>
      </c>
      <c r="D27" s="2" t="s">
        <v>56</v>
      </c>
      <c r="E27" s="2" t="s">
        <v>53</v>
      </c>
      <c r="F27" s="4" t="s">
        <v>54</v>
      </c>
      <c r="G27" s="1"/>
    </row>
    <row r="29" spans="1:7" x14ac:dyDescent="0.35">
      <c r="A29" s="22"/>
      <c r="B29" s="23"/>
      <c r="D29" s="22"/>
    </row>
    <row r="30" spans="1:7" x14ac:dyDescent="0.35">
      <c r="B30" s="23"/>
      <c r="D30" s="23"/>
      <c r="F30" s="24"/>
    </row>
    <row r="31" spans="1:7" x14ac:dyDescent="0.35">
      <c r="B31" s="23"/>
      <c r="D31" s="23"/>
    </row>
  </sheetData>
  <mergeCells count="5">
    <mergeCell ref="B1:C1"/>
    <mergeCell ref="B3:D3"/>
    <mergeCell ref="B22:C22"/>
    <mergeCell ref="D22:E22"/>
    <mergeCell ref="F22:G22"/>
  </mergeCells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H24"/>
  <sheetViews>
    <sheetView topLeftCell="A13" workbookViewId="0">
      <selection activeCell="F26" sqref="F26"/>
    </sheetView>
  </sheetViews>
  <sheetFormatPr defaultRowHeight="14.5" x14ac:dyDescent="0.35"/>
  <cols>
    <col min="1" max="1" width="14.54296875" customWidth="1"/>
    <col min="2" max="2" width="11" style="23" customWidth="1"/>
    <col min="3" max="3" width="15" style="27" customWidth="1"/>
    <col min="4" max="4" width="15" style="23" customWidth="1"/>
    <col min="5" max="5" width="10.7265625" style="27" customWidth="1"/>
    <col min="6" max="6" width="12.7265625" style="27" customWidth="1"/>
    <col min="7" max="7" width="13.81640625" style="23" customWidth="1"/>
    <col min="8" max="8" width="11.6328125" style="27" customWidth="1"/>
  </cols>
  <sheetData>
    <row r="1" spans="1:8" x14ac:dyDescent="0.35">
      <c r="A1" s="1"/>
      <c r="B1" s="61" t="s">
        <v>30</v>
      </c>
      <c r="C1" s="61"/>
      <c r="D1" s="61"/>
      <c r="E1" s="4"/>
      <c r="F1" s="4"/>
      <c r="G1" s="8"/>
      <c r="H1" s="4"/>
    </row>
    <row r="2" spans="1:8" x14ac:dyDescent="0.35">
      <c r="A2" s="1"/>
      <c r="B2" s="8"/>
      <c r="C2" s="4"/>
      <c r="D2" s="8"/>
      <c r="E2" s="4"/>
      <c r="F2" s="4"/>
      <c r="G2" s="8"/>
      <c r="H2" s="4"/>
    </row>
    <row r="3" spans="1:8" x14ac:dyDescent="0.35">
      <c r="A3" s="1"/>
      <c r="B3" s="61" t="s">
        <v>131</v>
      </c>
      <c r="C3" s="61"/>
      <c r="D3" s="61"/>
      <c r="E3" s="61"/>
      <c r="F3" s="61"/>
      <c r="G3" s="8"/>
      <c r="H3" s="4"/>
    </row>
    <row r="4" spans="1:8" x14ac:dyDescent="0.35">
      <c r="A4" s="4" t="s">
        <v>33</v>
      </c>
      <c r="B4" s="4"/>
      <c r="C4" s="4"/>
      <c r="D4" s="8"/>
      <c r="E4" s="4"/>
      <c r="F4" s="4"/>
      <c r="G4" s="8"/>
      <c r="H4" s="4"/>
    </row>
    <row r="5" spans="1:8" x14ac:dyDescent="0.35">
      <c r="A5" s="4" t="s">
        <v>35</v>
      </c>
      <c r="B5" s="4"/>
      <c r="C5" s="4"/>
      <c r="D5" s="8"/>
      <c r="E5" s="4"/>
      <c r="F5" s="4"/>
      <c r="G5" s="8"/>
      <c r="H5" s="4"/>
    </row>
    <row r="6" spans="1:8" x14ac:dyDescent="0.35">
      <c r="A6" s="4" t="s">
        <v>36</v>
      </c>
      <c r="B6" s="4"/>
      <c r="C6"/>
      <c r="D6" s="8"/>
      <c r="E6" s="4"/>
      <c r="F6" s="4"/>
      <c r="G6" s="8"/>
      <c r="H6" s="4"/>
    </row>
    <row r="7" spans="1:8" x14ac:dyDescent="0.35">
      <c r="A7" s="19">
        <v>0.02</v>
      </c>
      <c r="B7" s="8"/>
      <c r="C7" s="4" t="s">
        <v>61</v>
      </c>
      <c r="D7" s="4"/>
      <c r="E7" s="25" t="s">
        <v>62</v>
      </c>
      <c r="F7" s="4"/>
      <c r="G7" s="8"/>
      <c r="H7" s="4"/>
    </row>
    <row r="8" spans="1:8" ht="43.5" x14ac:dyDescent="0.35">
      <c r="A8" s="42" t="s">
        <v>63</v>
      </c>
      <c r="B8" s="5" t="s">
        <v>64</v>
      </c>
      <c r="C8" s="5" t="s">
        <v>65</v>
      </c>
      <c r="D8" s="5" t="s">
        <v>130</v>
      </c>
      <c r="E8" s="5" t="s">
        <v>44</v>
      </c>
      <c r="F8" s="5" t="s">
        <v>66</v>
      </c>
      <c r="G8" s="5" t="s">
        <v>67</v>
      </c>
      <c r="H8" s="5" t="s">
        <v>68</v>
      </c>
    </row>
    <row r="9" spans="1:8" x14ac:dyDescent="0.35">
      <c r="A9" s="2"/>
      <c r="B9" s="4" t="s">
        <v>36</v>
      </c>
      <c r="C9" s="4" t="s">
        <v>8</v>
      </c>
      <c r="D9" s="4" t="s">
        <v>36</v>
      </c>
      <c r="E9" s="4" t="s">
        <v>46</v>
      </c>
      <c r="F9" s="4" t="s">
        <v>69</v>
      </c>
      <c r="G9" s="4" t="s">
        <v>69</v>
      </c>
      <c r="H9" s="4"/>
    </row>
    <row r="10" spans="1:8" x14ac:dyDescent="0.35">
      <c r="A10" s="18" t="s">
        <v>70</v>
      </c>
      <c r="B10" s="4">
        <v>2.7E-2</v>
      </c>
      <c r="C10" s="4">
        <v>200</v>
      </c>
      <c r="D10" s="26">
        <f>C10/1000+$A$7+B10/3</f>
        <v>0.22900000000000001</v>
      </c>
      <c r="E10" s="18">
        <v>0.95150000000000001</v>
      </c>
      <c r="F10" s="7">
        <f>4*PI()^2*D10/E10^2</f>
        <v>9.9856797521603919</v>
      </c>
      <c r="G10" s="4">
        <v>10</v>
      </c>
      <c r="H10" s="14">
        <f>(F10-G10)/(G10)</f>
        <v>-1.4320247839608058E-3</v>
      </c>
    </row>
    <row r="11" spans="1:8" x14ac:dyDescent="0.35">
      <c r="A11" s="48" t="s">
        <v>71</v>
      </c>
      <c r="B11" s="4">
        <v>3.1E-2</v>
      </c>
      <c r="C11" s="4">
        <v>250</v>
      </c>
      <c r="D11" s="26">
        <f>C11/1000+$A$7+B11/3</f>
        <v>0.28033333333333332</v>
      </c>
      <c r="E11" s="48">
        <v>0.74990000000000001</v>
      </c>
      <c r="F11" s="19">
        <f>4*PI()^2*D11/E11^2</f>
        <v>19.680121285593764</v>
      </c>
      <c r="G11" s="4">
        <v>20</v>
      </c>
      <c r="H11" s="14">
        <f>(F11-G11)/(G11)</f>
        <v>-1.5993935720311825E-2</v>
      </c>
    </row>
    <row r="12" spans="1:8" x14ac:dyDescent="0.35">
      <c r="A12" s="47" t="s">
        <v>72</v>
      </c>
      <c r="B12" s="4">
        <v>3.2000000000000001E-2</v>
      </c>
      <c r="C12" s="4">
        <v>300</v>
      </c>
      <c r="D12" s="26">
        <f>C12/1000+$A$7+B12/3</f>
        <v>0.33066666666666666</v>
      </c>
      <c r="E12" s="47">
        <v>0.56869999999999998</v>
      </c>
      <c r="F12" s="19">
        <f>4*PI()^2*D12/E12^2</f>
        <v>40.363024139029768</v>
      </c>
      <c r="G12" s="4">
        <v>40</v>
      </c>
      <c r="H12" s="14">
        <f>(F12-G12)/(G12)</f>
        <v>9.0756034757442094E-3</v>
      </c>
    </row>
    <row r="13" spans="1:8" x14ac:dyDescent="0.35">
      <c r="A13" s="1"/>
      <c r="B13" s="8"/>
      <c r="C13" s="4" t="s">
        <v>61</v>
      </c>
      <c r="D13" s="8"/>
      <c r="E13" s="25" t="s">
        <v>62</v>
      </c>
      <c r="F13" s="4"/>
      <c r="G13" s="8"/>
      <c r="H13" s="4"/>
    </row>
    <row r="14" spans="1:8" ht="41" customHeight="1" x14ac:dyDescent="0.35">
      <c r="A14" s="43" t="s">
        <v>73</v>
      </c>
      <c r="B14" s="5" t="s">
        <v>64</v>
      </c>
      <c r="C14" s="5" t="s">
        <v>65</v>
      </c>
      <c r="D14" s="5" t="s">
        <v>74</v>
      </c>
      <c r="E14" s="5" t="s">
        <v>44</v>
      </c>
      <c r="F14" s="5" t="s">
        <v>66</v>
      </c>
      <c r="G14" s="5" t="s">
        <v>75</v>
      </c>
      <c r="H14" s="5" t="s">
        <v>68</v>
      </c>
    </row>
    <row r="15" spans="1:8" x14ac:dyDescent="0.35">
      <c r="A15" s="2"/>
      <c r="B15" s="4" t="s">
        <v>36</v>
      </c>
      <c r="C15" s="4" t="s">
        <v>8</v>
      </c>
      <c r="D15" s="4" t="s">
        <v>36</v>
      </c>
      <c r="E15" s="4" t="s">
        <v>46</v>
      </c>
      <c r="F15" s="4" t="s">
        <v>69</v>
      </c>
      <c r="G15" s="4" t="s">
        <v>69</v>
      </c>
      <c r="H15" s="4"/>
    </row>
    <row r="16" spans="1:8" x14ac:dyDescent="0.35">
      <c r="A16" s="18" t="s">
        <v>70</v>
      </c>
      <c r="B16" s="4">
        <v>2.7E-2</v>
      </c>
      <c r="C16" s="4">
        <v>300</v>
      </c>
      <c r="D16" s="26">
        <f>C16/1000+$A$7+2*B16/3</f>
        <v>0.33800000000000002</v>
      </c>
      <c r="E16" s="18">
        <v>0.81079999999999997</v>
      </c>
      <c r="F16" s="19">
        <f>4*PI()^2*D16/E16^2</f>
        <v>20.297799438513731</v>
      </c>
      <c r="G16" s="4">
        <v>20</v>
      </c>
      <c r="H16" s="14">
        <f>(F16-G16)/(G16)</f>
        <v>1.4889971925686574E-2</v>
      </c>
    </row>
    <row r="17" spans="1:8" x14ac:dyDescent="0.35">
      <c r="A17" s="48" t="s">
        <v>71</v>
      </c>
      <c r="B17" s="4">
        <v>3.1E-2</v>
      </c>
      <c r="C17" s="4">
        <v>400</v>
      </c>
      <c r="D17" s="26">
        <f>C17/1000+$A$7+2*B17/3</f>
        <v>0.44066666666666671</v>
      </c>
      <c r="E17" s="48">
        <v>0.66659999999999997</v>
      </c>
      <c r="F17" s="19">
        <f>4*PI()^2*D17/E17^2</f>
        <v>39.150680799373468</v>
      </c>
      <c r="G17" s="4">
        <v>40</v>
      </c>
      <c r="H17" s="14">
        <f>(F17-G17)/(G17)</f>
        <v>-2.1232980015663296E-2</v>
      </c>
    </row>
    <row r="18" spans="1:8" x14ac:dyDescent="0.35">
      <c r="A18" s="47" t="s">
        <v>72</v>
      </c>
      <c r="B18" s="4">
        <v>3.2000000000000001E-2</v>
      </c>
      <c r="C18" s="4">
        <v>600</v>
      </c>
      <c r="D18" s="26">
        <f>C18/1000+$A$7+2*B18/3</f>
        <v>0.64133333333333331</v>
      </c>
      <c r="E18" s="47">
        <v>0.55559999999999998</v>
      </c>
      <c r="F18" s="19">
        <f>4*PI()^2*D18/E18^2</f>
        <v>82.019869804350549</v>
      </c>
      <c r="G18" s="4">
        <v>80</v>
      </c>
      <c r="H18" s="14">
        <f>(F18-G18)/(G18)</f>
        <v>2.5248372554381858E-2</v>
      </c>
    </row>
    <row r="19" spans="1:8" x14ac:dyDescent="0.35">
      <c r="A19" s="1"/>
      <c r="B19" s="8"/>
      <c r="C19" s="4" t="s">
        <v>61</v>
      </c>
      <c r="D19" s="8"/>
      <c r="E19" s="25" t="s">
        <v>62</v>
      </c>
      <c r="F19" s="4"/>
      <c r="G19" s="8"/>
      <c r="H19" s="4"/>
    </row>
    <row r="20" spans="1:8" ht="43.5" x14ac:dyDescent="0.35">
      <c r="A20" s="43" t="s">
        <v>76</v>
      </c>
      <c r="B20" s="4" t="s">
        <v>64</v>
      </c>
      <c r="C20" s="5" t="s">
        <v>65</v>
      </c>
      <c r="D20" s="5" t="s">
        <v>74</v>
      </c>
      <c r="E20" s="5" t="s">
        <v>44</v>
      </c>
      <c r="F20" s="5" t="s">
        <v>66</v>
      </c>
      <c r="G20" s="5" t="s">
        <v>77</v>
      </c>
      <c r="H20" s="5" t="s">
        <v>68</v>
      </c>
    </row>
    <row r="21" spans="1:8" x14ac:dyDescent="0.35">
      <c r="A21" s="2"/>
      <c r="B21" s="4" t="s">
        <v>36</v>
      </c>
      <c r="C21" s="4" t="s">
        <v>8</v>
      </c>
      <c r="D21" s="4" t="s">
        <v>36</v>
      </c>
      <c r="E21" s="4" t="s">
        <v>46</v>
      </c>
      <c r="F21" s="4" t="s">
        <v>69</v>
      </c>
      <c r="G21" s="4" t="s">
        <v>69</v>
      </c>
      <c r="H21" s="4"/>
    </row>
    <row r="22" spans="1:8" x14ac:dyDescent="0.35">
      <c r="A22" s="18" t="s">
        <v>70</v>
      </c>
      <c r="B22" s="4">
        <v>2.7E-2</v>
      </c>
      <c r="C22" s="4">
        <v>100</v>
      </c>
      <c r="D22" s="26">
        <f>C22/1000+$A$7+2*B22/3</f>
        <v>0.13800000000000001</v>
      </c>
      <c r="E22" s="18">
        <v>1.046</v>
      </c>
      <c r="F22" s="19">
        <f>4*PI()^2*D22/E22^2</f>
        <v>4.9793821033613677</v>
      </c>
      <c r="G22" s="4">
        <v>5</v>
      </c>
      <c r="H22" s="14">
        <f>(F22-G22)/(G22)</f>
        <v>-4.123579327726468E-3</v>
      </c>
    </row>
    <row r="23" spans="1:8" x14ac:dyDescent="0.35">
      <c r="A23" s="48" t="s">
        <v>71</v>
      </c>
      <c r="B23" s="4">
        <v>3.1E-2</v>
      </c>
      <c r="C23" s="4">
        <v>250</v>
      </c>
      <c r="D23" s="26">
        <f>C23/1000+$A$7+2*B23/3</f>
        <v>0.29066666666666668</v>
      </c>
      <c r="E23" s="48">
        <v>1.081</v>
      </c>
      <c r="F23" s="19">
        <f>4*PI()^2*D23/E23^2</f>
        <v>9.8198211735059004</v>
      </c>
      <c r="G23" s="4">
        <v>10</v>
      </c>
      <c r="H23" s="14">
        <f>(F23-G23)/(G23)</f>
        <v>-1.8017882649409955E-2</v>
      </c>
    </row>
    <row r="24" spans="1:8" x14ac:dyDescent="0.35">
      <c r="A24" s="47" t="s">
        <v>72</v>
      </c>
      <c r="B24" s="4">
        <v>3.2000000000000001E-2</v>
      </c>
      <c r="C24" s="4">
        <v>300</v>
      </c>
      <c r="D24" s="26">
        <f>C24/1000+$A$7+2*B24/3</f>
        <v>0.34133333333333332</v>
      </c>
      <c r="E24" s="47">
        <v>0.8145</v>
      </c>
      <c r="F24" s="19">
        <f>4*PI()^2*D24/E24^2</f>
        <v>20.312167132812117</v>
      </c>
      <c r="G24" s="4">
        <v>20</v>
      </c>
      <c r="H24" s="14">
        <f>(F24-G24)/(G24)</f>
        <v>1.5608356640605869E-2</v>
      </c>
    </row>
  </sheetData>
  <mergeCells count="2">
    <mergeCell ref="B1:D1"/>
    <mergeCell ref="B3:F3"/>
  </mergeCells>
  <pageMargins left="0" right="0" top="0.39374999999999999" bottom="0.39374999999999999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988FC"/>
  </sheetPr>
  <dimension ref="A1:L30"/>
  <sheetViews>
    <sheetView workbookViewId="0">
      <selection activeCell="I15" sqref="I15"/>
    </sheetView>
  </sheetViews>
  <sheetFormatPr defaultRowHeight="14.5" x14ac:dyDescent="0.35"/>
  <cols>
    <col min="1" max="1" width="8.7265625" customWidth="1"/>
    <col min="2" max="2" width="14.08984375" customWidth="1"/>
    <col min="3" max="3" width="12.7265625" customWidth="1"/>
    <col min="4" max="4" width="10.90625" customWidth="1"/>
    <col min="5" max="6" width="11.36328125" customWidth="1"/>
    <col min="7" max="7" width="5.90625" customWidth="1"/>
    <col min="8" max="8" width="13.1796875" customWidth="1"/>
    <col min="9" max="9" width="12" customWidth="1"/>
    <col min="10" max="10" width="13" customWidth="1"/>
    <col min="11" max="11" width="13.7265625" customWidth="1"/>
    <col min="12" max="12" width="11.6328125" customWidth="1"/>
  </cols>
  <sheetData>
    <row r="1" spans="1:11" x14ac:dyDescent="0.35">
      <c r="A1" s="1"/>
      <c r="B1" s="54" t="s">
        <v>78</v>
      </c>
      <c r="C1" s="54"/>
      <c r="D1" s="54"/>
      <c r="E1" s="54"/>
      <c r="F1" s="54"/>
      <c r="G1" s="1"/>
      <c r="H1" s="1"/>
      <c r="I1" s="1"/>
      <c r="J1" s="27" t="s">
        <v>79</v>
      </c>
    </row>
    <row r="2" spans="1:11" x14ac:dyDescent="0.35">
      <c r="A2" s="1"/>
      <c r="B2" s="1"/>
      <c r="C2" s="1"/>
      <c r="D2" s="1"/>
      <c r="E2" s="1"/>
      <c r="F2" s="1"/>
      <c r="G2" s="1"/>
      <c r="H2" s="1"/>
      <c r="I2" s="4" t="s">
        <v>80</v>
      </c>
      <c r="J2" s="27" t="s">
        <v>81</v>
      </c>
    </row>
    <row r="3" spans="1:11" x14ac:dyDescent="0.35">
      <c r="A3" s="4" t="s">
        <v>82</v>
      </c>
      <c r="B3" s="4" t="s">
        <v>83</v>
      </c>
      <c r="C3" s="4" t="s">
        <v>84</v>
      </c>
      <c r="D3" s="4" t="s">
        <v>85</v>
      </c>
      <c r="E3" s="4" t="s">
        <v>86</v>
      </c>
      <c r="F3" s="4" t="s">
        <v>87</v>
      </c>
      <c r="G3" s="4" t="s">
        <v>88</v>
      </c>
      <c r="H3" s="4" t="s">
        <v>89</v>
      </c>
      <c r="I3" s="4" t="s">
        <v>90</v>
      </c>
      <c r="J3" s="22" t="s">
        <v>91</v>
      </c>
    </row>
    <row r="4" spans="1:11" x14ac:dyDescent="0.35">
      <c r="A4" s="4" t="s">
        <v>92</v>
      </c>
      <c r="B4" s="4" t="s">
        <v>69</v>
      </c>
      <c r="C4" s="4" t="s">
        <v>93</v>
      </c>
      <c r="D4" s="4" t="s">
        <v>8</v>
      </c>
      <c r="E4" s="4" t="s">
        <v>94</v>
      </c>
      <c r="F4" s="4" t="s">
        <v>94</v>
      </c>
      <c r="G4" s="4" t="s">
        <v>94</v>
      </c>
      <c r="H4" s="4" t="s">
        <v>94</v>
      </c>
      <c r="I4" s="4" t="s">
        <v>95</v>
      </c>
    </row>
    <row r="5" spans="1:11" x14ac:dyDescent="0.35">
      <c r="A5" s="28" t="s">
        <v>96</v>
      </c>
      <c r="B5" s="2" t="s">
        <v>97</v>
      </c>
      <c r="C5" s="29" t="s">
        <v>98</v>
      </c>
      <c r="D5" s="4">
        <v>27</v>
      </c>
      <c r="E5" s="4">
        <v>131</v>
      </c>
      <c r="F5" s="4">
        <v>160</v>
      </c>
      <c r="G5" s="4">
        <v>14.4</v>
      </c>
      <c r="H5" s="30">
        <v>0.8</v>
      </c>
      <c r="I5" s="19">
        <f t="shared" ref="I5:I10" si="0">E5/H5</f>
        <v>163.75</v>
      </c>
      <c r="J5" s="31">
        <f t="shared" ref="J5:J10" si="1">0.5*(H5/(G5-H5))^2</f>
        <v>1.730103806228374E-3</v>
      </c>
    </row>
    <row r="6" spans="1:11" x14ac:dyDescent="0.35">
      <c r="A6" s="8"/>
      <c r="B6" s="2"/>
      <c r="C6" s="29" t="s">
        <v>99</v>
      </c>
      <c r="D6" s="4">
        <v>27</v>
      </c>
      <c r="E6" s="4">
        <v>131</v>
      </c>
      <c r="F6" s="4">
        <v>160</v>
      </c>
      <c r="G6" s="4">
        <v>14.4</v>
      </c>
      <c r="H6" s="30">
        <f>(0.82+0.78)/2</f>
        <v>0.8</v>
      </c>
      <c r="I6" s="19">
        <f t="shared" si="0"/>
        <v>163.75</v>
      </c>
      <c r="J6" s="31">
        <f t="shared" si="1"/>
        <v>1.730103806228374E-3</v>
      </c>
    </row>
    <row r="7" spans="1:11" x14ac:dyDescent="0.35">
      <c r="A7" s="50" t="s">
        <v>100</v>
      </c>
      <c r="B7" s="2" t="s">
        <v>101</v>
      </c>
      <c r="C7" s="29" t="s">
        <v>98</v>
      </c>
      <c r="D7" s="4">
        <v>31</v>
      </c>
      <c r="E7" s="4">
        <v>135</v>
      </c>
      <c r="F7" s="4">
        <v>164</v>
      </c>
      <c r="G7" s="4">
        <v>14.35</v>
      </c>
      <c r="H7" s="30">
        <v>0.9</v>
      </c>
      <c r="I7" s="19">
        <f t="shared" si="0"/>
        <v>150</v>
      </c>
      <c r="J7" s="31">
        <f t="shared" si="1"/>
        <v>2.2387750307486082E-3</v>
      </c>
    </row>
    <row r="8" spans="1:11" x14ac:dyDescent="0.35">
      <c r="A8" s="8"/>
      <c r="B8" s="2"/>
      <c r="C8" s="29" t="s">
        <v>99</v>
      </c>
      <c r="D8" s="4">
        <v>31</v>
      </c>
      <c r="E8" s="4">
        <v>135</v>
      </c>
      <c r="F8" s="4">
        <v>164</v>
      </c>
      <c r="G8" s="4">
        <v>14.4</v>
      </c>
      <c r="H8" s="30">
        <v>0.9</v>
      </c>
      <c r="I8" s="19">
        <f t="shared" si="0"/>
        <v>150</v>
      </c>
      <c r="J8" s="31">
        <f t="shared" si="1"/>
        <v>2.2222222222222222E-3</v>
      </c>
    </row>
    <row r="9" spans="1:11" x14ac:dyDescent="0.35">
      <c r="A9" s="51" t="s">
        <v>102</v>
      </c>
      <c r="B9" s="2" t="s">
        <v>103</v>
      </c>
      <c r="C9" s="29" t="s">
        <v>98</v>
      </c>
      <c r="D9" s="4">
        <v>32</v>
      </c>
      <c r="E9" s="4">
        <v>134</v>
      </c>
      <c r="F9" s="4">
        <v>162</v>
      </c>
      <c r="G9" s="4">
        <v>13.28</v>
      </c>
      <c r="H9" s="30">
        <v>1</v>
      </c>
      <c r="I9" s="19">
        <f t="shared" si="0"/>
        <v>134</v>
      </c>
      <c r="J9" s="31">
        <f t="shared" si="1"/>
        <v>3.3156850470562028E-3</v>
      </c>
    </row>
    <row r="10" spans="1:11" x14ac:dyDescent="0.35">
      <c r="A10" s="1"/>
      <c r="B10" s="2"/>
      <c r="C10" s="29" t="s">
        <v>99</v>
      </c>
      <c r="D10" s="4">
        <v>32</v>
      </c>
      <c r="E10" s="4">
        <v>134</v>
      </c>
      <c r="F10" s="4">
        <v>162</v>
      </c>
      <c r="G10" s="4">
        <v>13.28</v>
      </c>
      <c r="H10" s="30">
        <v>1</v>
      </c>
      <c r="I10" s="19">
        <f t="shared" si="0"/>
        <v>134</v>
      </c>
      <c r="J10" s="31">
        <f t="shared" si="1"/>
        <v>3.3156850470562028E-3</v>
      </c>
      <c r="K10" s="22" t="s">
        <v>104</v>
      </c>
    </row>
    <row r="11" spans="1:11" x14ac:dyDescent="0.35">
      <c r="A11" s="1"/>
      <c r="B11" s="1"/>
      <c r="C11" s="1"/>
      <c r="D11" s="1"/>
      <c r="E11" s="1"/>
      <c r="F11" s="1"/>
      <c r="G11" s="1"/>
      <c r="H11" s="1"/>
      <c r="I11" s="1"/>
    </row>
    <row r="12" spans="1:11" x14ac:dyDescent="0.35">
      <c r="A12" s="1"/>
      <c r="B12" s="4" t="s">
        <v>105</v>
      </c>
      <c r="C12" s="1"/>
      <c r="D12" s="1"/>
      <c r="E12" s="1"/>
      <c r="F12" s="1"/>
      <c r="G12" s="1"/>
      <c r="H12" s="1"/>
      <c r="I12" s="1"/>
    </row>
    <row r="13" spans="1:11" x14ac:dyDescent="0.35">
      <c r="A13" s="1"/>
      <c r="B13" s="4" t="s">
        <v>106</v>
      </c>
      <c r="C13" s="1"/>
      <c r="D13" s="1"/>
      <c r="E13" s="1"/>
      <c r="F13" s="1"/>
      <c r="G13" s="1"/>
      <c r="H13" s="1"/>
      <c r="I13" s="1"/>
    </row>
    <row r="14" spans="1:11" x14ac:dyDescent="0.35">
      <c r="A14" s="1"/>
      <c r="B14" s="32">
        <v>79.3</v>
      </c>
      <c r="C14" s="54" t="s">
        <v>107</v>
      </c>
      <c r="D14" s="54"/>
      <c r="E14" s="54"/>
      <c r="F14" s="54"/>
      <c r="G14" s="54"/>
      <c r="H14" s="54"/>
      <c r="I14" s="1"/>
    </row>
    <row r="15" spans="1:11" x14ac:dyDescent="0.35">
      <c r="A15" s="1"/>
      <c r="B15" s="33"/>
      <c r="C15" s="2" t="s">
        <v>108</v>
      </c>
      <c r="D15" s="1"/>
      <c r="E15" s="1"/>
      <c r="F15" s="1"/>
      <c r="G15" s="1"/>
      <c r="H15" s="1"/>
      <c r="I15" s="1"/>
    </row>
    <row r="16" spans="1:11" x14ac:dyDescent="0.35">
      <c r="A16" s="1"/>
      <c r="B16" s="33"/>
      <c r="C16" s="1"/>
      <c r="D16" s="1"/>
      <c r="E16" s="1"/>
      <c r="F16" s="1"/>
      <c r="G16" s="1"/>
      <c r="H16" s="1"/>
      <c r="I16" s="1"/>
    </row>
    <row r="17" spans="1:12" x14ac:dyDescent="0.35">
      <c r="A17" s="1"/>
      <c r="B17" s="1"/>
      <c r="C17" s="4" t="s">
        <v>109</v>
      </c>
      <c r="D17" s="4" t="s">
        <v>110</v>
      </c>
      <c r="E17" s="2"/>
      <c r="F17" s="4" t="s">
        <v>111</v>
      </c>
      <c r="G17" s="1"/>
      <c r="H17" s="1"/>
      <c r="I17" s="1"/>
    </row>
    <row r="18" spans="1:12" x14ac:dyDescent="0.35">
      <c r="A18" s="1"/>
      <c r="B18" s="4" t="s">
        <v>112</v>
      </c>
      <c r="C18" s="4" t="s">
        <v>17</v>
      </c>
      <c r="D18" s="4" t="s">
        <v>113</v>
      </c>
      <c r="E18" s="2" t="s">
        <v>114</v>
      </c>
      <c r="F18" s="4" t="s">
        <v>17</v>
      </c>
      <c r="G18" s="1"/>
      <c r="H18" s="1"/>
      <c r="I18" s="1"/>
    </row>
    <row r="19" spans="1:12" x14ac:dyDescent="0.35">
      <c r="A19" s="1"/>
      <c r="B19" s="18" t="s">
        <v>70</v>
      </c>
      <c r="C19" s="34">
        <f>($B$14/8)*(H5/1000)^4/(I5*((G5-H5)/1000)^3)*10^9</f>
        <v>9.8570081245736905</v>
      </c>
      <c r="D19" s="4">
        <v>10</v>
      </c>
      <c r="E19" s="14">
        <f>2*(D19-C19)/(C19+D19)</f>
        <v>1.440215711543699E-2</v>
      </c>
      <c r="F19" s="4">
        <v>9.9589999999999996</v>
      </c>
      <c r="G19" s="1"/>
      <c r="H19" s="1"/>
      <c r="I19" s="1"/>
      <c r="L19" s="35"/>
    </row>
    <row r="20" spans="1:12" x14ac:dyDescent="0.35">
      <c r="A20" s="1"/>
      <c r="B20" s="48" t="s">
        <v>71</v>
      </c>
      <c r="C20" s="34">
        <f>($B$14/8)*(0.91/1000)^4/(I7*((G7-H7)/1000)^3)*10^9</f>
        <v>18.624758817773209</v>
      </c>
      <c r="D20" s="4">
        <v>20</v>
      </c>
      <c r="E20" s="14">
        <f>2*(D20-C20)/(C20+D20)</f>
        <v>7.1210344054962627E-2</v>
      </c>
      <c r="F20" s="19">
        <v>19.600000000000001</v>
      </c>
      <c r="G20" s="1"/>
      <c r="H20" s="1"/>
      <c r="I20" s="1"/>
      <c r="L20" s="35"/>
    </row>
    <row r="21" spans="1:12" x14ac:dyDescent="0.35">
      <c r="A21" s="1"/>
      <c r="B21" s="47" t="s">
        <v>72</v>
      </c>
      <c r="C21" s="34">
        <f>($B$14/8)*(H9/1000)^4/(I9*((G9-H9)/1000)^3)*10^9</f>
        <v>39.946920157694358</v>
      </c>
      <c r="D21" s="4">
        <v>40</v>
      </c>
      <c r="E21" s="14">
        <f>2*(D21-C21)/(C21+D21)</f>
        <v>1.3278771014804092E-3</v>
      </c>
      <c r="F21" s="4">
        <v>41.478000000000002</v>
      </c>
      <c r="G21" s="1"/>
      <c r="H21" s="1"/>
      <c r="I21" s="1"/>
      <c r="L21" s="35"/>
    </row>
    <row r="22" spans="1:12" x14ac:dyDescent="0.35">
      <c r="A22" s="1"/>
      <c r="B22" s="1"/>
      <c r="C22" s="1"/>
      <c r="D22" s="1"/>
      <c r="E22" s="1"/>
      <c r="F22" s="1"/>
      <c r="G22" s="1"/>
      <c r="H22" s="1"/>
      <c r="I22" s="1"/>
    </row>
    <row r="23" spans="1:12" x14ac:dyDescent="0.35">
      <c r="A23" s="1"/>
      <c r="B23" s="2" t="s">
        <v>115</v>
      </c>
      <c r="C23" s="1"/>
      <c r="D23" s="1"/>
      <c r="E23" s="1"/>
      <c r="F23" s="1"/>
      <c r="G23" s="1"/>
      <c r="H23" s="1"/>
      <c r="I23" s="1"/>
    </row>
    <row r="24" spans="1:12" x14ac:dyDescent="0.35">
      <c r="A24" s="1"/>
      <c r="B24" s="1"/>
      <c r="C24" s="4" t="s">
        <v>116</v>
      </c>
      <c r="D24" s="4" t="s">
        <v>117</v>
      </c>
      <c r="E24" s="2" t="s">
        <v>114</v>
      </c>
      <c r="F24" s="1"/>
      <c r="G24" s="1"/>
      <c r="H24" s="1"/>
      <c r="I24" s="1"/>
    </row>
    <row r="25" spans="1:12" x14ac:dyDescent="0.35">
      <c r="A25" s="1"/>
      <c r="B25" s="2" t="s">
        <v>118</v>
      </c>
      <c r="C25" s="34">
        <f>C21/C19</f>
        <v>4.052641496571967</v>
      </c>
      <c r="D25" s="34">
        <v>4</v>
      </c>
      <c r="E25" s="14">
        <f>2*(D25-C25)/(C25+D25)</f>
        <v>-1.3074342523351296E-2</v>
      </c>
      <c r="F25" s="1"/>
      <c r="G25" s="1"/>
      <c r="H25" s="1"/>
      <c r="I25" s="1"/>
    </row>
    <row r="26" spans="1:12" x14ac:dyDescent="0.35">
      <c r="A26" s="1"/>
      <c r="B26" s="2" t="s">
        <v>119</v>
      </c>
      <c r="C26" s="34">
        <f>C21/C20</f>
        <v>2.1448288564990095</v>
      </c>
      <c r="D26" s="34">
        <f>4/2</f>
        <v>2</v>
      </c>
      <c r="E26" s="14">
        <f>2*(D26-C26)/(C26+D26)</f>
        <v>-6.9884118989338093E-2</v>
      </c>
      <c r="F26" s="1"/>
      <c r="G26" s="1"/>
      <c r="H26" s="1"/>
      <c r="I26" s="1"/>
    </row>
    <row r="27" spans="1:12" x14ac:dyDescent="0.35">
      <c r="A27" s="1"/>
      <c r="B27" s="2" t="s">
        <v>120</v>
      </c>
      <c r="C27" s="34">
        <f>C20/C19</f>
        <v>1.8894941124519686</v>
      </c>
      <c r="D27" s="34">
        <f>2/1</f>
        <v>2</v>
      </c>
      <c r="E27" s="14">
        <f>2*(D27-C27)/(C27+D27)</f>
        <v>5.6822756046475957E-2</v>
      </c>
      <c r="F27" s="1"/>
      <c r="G27" s="1"/>
      <c r="H27" s="1"/>
      <c r="I27" s="1"/>
    </row>
    <row r="28" spans="1:12" x14ac:dyDescent="0.35">
      <c r="A28" s="1"/>
      <c r="B28" s="1"/>
      <c r="C28" s="1"/>
      <c r="D28" s="1"/>
      <c r="E28" s="1"/>
      <c r="F28" s="1"/>
      <c r="G28" s="1"/>
      <c r="H28" s="1"/>
      <c r="I28" s="1"/>
    </row>
    <row r="29" spans="1:12" x14ac:dyDescent="0.35">
      <c r="A29" s="1"/>
      <c r="B29" s="54" t="s">
        <v>121</v>
      </c>
      <c r="C29" s="54"/>
      <c r="D29" s="54"/>
      <c r="E29" s="54"/>
      <c r="F29" s="54"/>
      <c r="G29" s="54"/>
      <c r="H29" s="1"/>
      <c r="I29" s="1"/>
    </row>
    <row r="30" spans="1:12" x14ac:dyDescent="0.35">
      <c r="A30" s="1"/>
      <c r="B30" s="54" t="s">
        <v>122</v>
      </c>
      <c r="C30" s="54"/>
      <c r="D30" s="54"/>
      <c r="E30" s="54"/>
      <c r="F30" s="54"/>
      <c r="G30" s="54"/>
      <c r="H30" s="1"/>
      <c r="I30" s="1"/>
    </row>
  </sheetData>
  <mergeCells count="4">
    <mergeCell ref="B1:F1"/>
    <mergeCell ref="C14:H14"/>
    <mergeCell ref="B29:G29"/>
    <mergeCell ref="B30:G30"/>
  </mergeCells>
  <pageMargins left="0" right="0" top="0.39374999999999999" bottom="0.39374999999999999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2"/>
  <sheetViews>
    <sheetView topLeftCell="A13" workbookViewId="0">
      <selection activeCell="H28" sqref="H28"/>
    </sheetView>
  </sheetViews>
  <sheetFormatPr defaultRowHeight="14.5" x14ac:dyDescent="0.35"/>
  <cols>
    <col min="1" max="1" width="8.7265625" customWidth="1"/>
    <col min="2" max="2" width="13.81640625" customWidth="1"/>
    <col min="3" max="3" width="11.6328125" customWidth="1"/>
    <col min="4" max="4" width="15.1796875" customWidth="1"/>
    <col min="5" max="5" width="9.453125" customWidth="1"/>
    <col min="6" max="1024" width="8.7265625" customWidth="1"/>
  </cols>
  <sheetData>
    <row r="1" spans="1:11" x14ac:dyDescent="0.35">
      <c r="A1" s="1"/>
      <c r="B1" s="54" t="s">
        <v>0</v>
      </c>
      <c r="C1" s="54"/>
      <c r="D1" s="54"/>
      <c r="E1" s="1"/>
      <c r="F1" s="1"/>
      <c r="G1" s="1"/>
      <c r="H1" s="1"/>
    </row>
    <row r="2" spans="1:11" x14ac:dyDescent="0.35">
      <c r="A2" s="1"/>
      <c r="B2" s="1"/>
      <c r="C2" s="1"/>
      <c r="D2" s="1"/>
      <c r="E2" s="1"/>
      <c r="F2" s="1"/>
      <c r="G2" s="1"/>
      <c r="H2" s="1"/>
    </row>
    <row r="3" spans="1:11" x14ac:dyDescent="0.35">
      <c r="A3" s="1"/>
      <c r="B3" s="3" t="s">
        <v>1</v>
      </c>
      <c r="C3" s="1"/>
      <c r="D3" s="1"/>
      <c r="E3" s="1"/>
      <c r="F3" s="1"/>
      <c r="G3" s="1"/>
      <c r="H3" s="1"/>
    </row>
    <row r="4" spans="1:11" x14ac:dyDescent="0.35">
      <c r="A4" s="1"/>
      <c r="B4" s="1"/>
      <c r="C4" s="4" t="s">
        <v>2</v>
      </c>
      <c r="D4" s="3" t="s">
        <v>3</v>
      </c>
      <c r="E4" s="2" t="s">
        <v>2</v>
      </c>
      <c r="F4" s="2" t="s">
        <v>2</v>
      </c>
      <c r="G4" s="1"/>
      <c r="H4" s="1"/>
    </row>
    <row r="5" spans="1:11" ht="43.5" x14ac:dyDescent="0.35">
      <c r="A5" s="1"/>
      <c r="B5" s="1"/>
      <c r="C5" s="5" t="s">
        <v>4</v>
      </c>
      <c r="D5" s="5" t="s">
        <v>5</v>
      </c>
      <c r="E5" s="5" t="s">
        <v>123</v>
      </c>
      <c r="F5" s="5" t="s">
        <v>7</v>
      </c>
      <c r="G5" s="6"/>
      <c r="H5" s="6"/>
    </row>
    <row r="6" spans="1:11" x14ac:dyDescent="0.35">
      <c r="A6" s="1"/>
      <c r="B6" s="1"/>
      <c r="C6" s="4" t="s">
        <v>8</v>
      </c>
      <c r="D6" s="4" t="s">
        <v>9</v>
      </c>
      <c r="E6" s="4" t="s">
        <v>10</v>
      </c>
      <c r="F6" s="4" t="s">
        <v>11</v>
      </c>
      <c r="G6" s="1"/>
      <c r="H6" s="1"/>
    </row>
    <row r="7" spans="1:11" x14ac:dyDescent="0.35">
      <c r="A7" s="1"/>
      <c r="B7" s="1"/>
      <c r="C7" s="4">
        <v>0</v>
      </c>
      <c r="D7" s="4">
        <v>50.2</v>
      </c>
      <c r="E7" s="1" t="s">
        <v>12</v>
      </c>
      <c r="F7" s="8" t="s">
        <v>12</v>
      </c>
      <c r="G7" s="1"/>
      <c r="H7" s="1"/>
    </row>
    <row r="8" spans="1:11" x14ac:dyDescent="0.35">
      <c r="A8" s="1"/>
      <c r="B8" s="2" t="s">
        <v>13</v>
      </c>
      <c r="C8" s="4">
        <v>100</v>
      </c>
      <c r="D8" s="4">
        <v>51.6</v>
      </c>
      <c r="E8" s="4">
        <f>(D8-$D$7)/100</f>
        <v>1.3999999999999986E-2</v>
      </c>
      <c r="F8" s="7">
        <f>C8*9.8/1000</f>
        <v>0.98000000000000009</v>
      </c>
      <c r="G8" s="1"/>
      <c r="H8" s="1"/>
    </row>
    <row r="9" spans="1:11" x14ac:dyDescent="0.35">
      <c r="A9" s="1"/>
      <c r="B9" s="1"/>
      <c r="C9" s="4">
        <v>150</v>
      </c>
      <c r="D9" s="4">
        <v>56.6</v>
      </c>
      <c r="E9" s="4">
        <f>(D9-$D$7)/100</f>
        <v>6.3999999999999987E-2</v>
      </c>
      <c r="F9" s="7">
        <f>C9*9.8/1000</f>
        <v>1.47</v>
      </c>
      <c r="G9" s="1"/>
      <c r="H9" s="1"/>
    </row>
    <row r="10" spans="1:11" x14ac:dyDescent="0.35">
      <c r="A10" s="1"/>
      <c r="B10" s="1"/>
      <c r="C10" s="4">
        <v>200</v>
      </c>
      <c r="D10" s="4">
        <v>61.5</v>
      </c>
      <c r="E10" s="4">
        <f>(D10-$D$7)/100</f>
        <v>0.11299999999999998</v>
      </c>
      <c r="F10" s="7">
        <f>C10*9.8/1000</f>
        <v>1.9600000000000002</v>
      </c>
      <c r="G10" s="1"/>
      <c r="H10" s="1"/>
    </row>
    <row r="11" spans="1:11" x14ac:dyDescent="0.35">
      <c r="A11" s="1"/>
      <c r="B11" s="1"/>
      <c r="C11" s="4">
        <v>250</v>
      </c>
      <c r="D11" s="4">
        <v>66.400000000000006</v>
      </c>
      <c r="E11" s="4">
        <f>(D11-$D$7)/100</f>
        <v>0.16200000000000003</v>
      </c>
      <c r="F11" s="7">
        <f>C11*9.8/1000</f>
        <v>2.4500000000000002</v>
      </c>
      <c r="G11" s="1"/>
      <c r="H11" s="1"/>
    </row>
    <row r="12" spans="1:11" x14ac:dyDescent="0.35">
      <c r="A12" s="1"/>
      <c r="B12" s="1"/>
      <c r="C12" s="4">
        <v>300</v>
      </c>
      <c r="D12" s="4">
        <v>71.3</v>
      </c>
      <c r="E12" s="4">
        <f>(D12-$D$7)/100</f>
        <v>0.21099999999999994</v>
      </c>
      <c r="F12" s="7">
        <f>C12*9.8/1000</f>
        <v>2.94</v>
      </c>
      <c r="G12" s="1"/>
      <c r="H12" s="1"/>
    </row>
    <row r="13" spans="1:11" x14ac:dyDescent="0.35">
      <c r="A13" s="1"/>
      <c r="B13" s="1"/>
      <c r="C13" s="8"/>
      <c r="D13" s="8"/>
      <c r="E13" s="8"/>
      <c r="F13" s="8"/>
      <c r="G13" s="1"/>
      <c r="H13" s="1"/>
    </row>
    <row r="14" spans="1:11" x14ac:dyDescent="0.35">
      <c r="A14" s="1"/>
      <c r="B14" s="54" t="s">
        <v>124</v>
      </c>
      <c r="C14" s="54"/>
      <c r="D14" s="54"/>
      <c r="E14" s="4" t="s">
        <v>17</v>
      </c>
      <c r="F14" s="4">
        <v>10</v>
      </c>
      <c r="G14" s="54" t="s">
        <v>125</v>
      </c>
      <c r="H14" s="54"/>
      <c r="J14">
        <f t="array" ref="J14:K18">LINEST(F8:F12,E8:E12,1,1)</f>
        <v>9.9591850223904004</v>
      </c>
      <c r="K14">
        <v>0.83660392947436324</v>
      </c>
    </row>
    <row r="15" spans="1:11" ht="17.5" x14ac:dyDescent="0.35">
      <c r="A15" s="1"/>
      <c r="B15" s="4" t="s">
        <v>17</v>
      </c>
      <c r="C15" s="4" t="s">
        <v>18</v>
      </c>
      <c r="D15" s="4" t="s">
        <v>19</v>
      </c>
      <c r="E15" s="4"/>
      <c r="F15" s="14">
        <f>ABS(F14-B16)/F14</f>
        <v>4.0814977609599625E-3</v>
      </c>
      <c r="G15" s="54" t="s">
        <v>126</v>
      </c>
      <c r="H15" s="54"/>
      <c r="J15">
        <v>2.3373732331651478E-2</v>
      </c>
      <c r="K15">
        <v>3.0978088480939957E-3</v>
      </c>
    </row>
    <row r="16" spans="1:11" x14ac:dyDescent="0.35">
      <c r="A16" s="1"/>
      <c r="B16" s="9">
        <f>INDEX(LINEST(F8:F12,E8:E12,1,1),1,1)</f>
        <v>9.9591850223904004</v>
      </c>
      <c r="C16" s="10">
        <f>INDEX(LINEST(F8:F12,E8:E12,1,1), 1,2)</f>
        <v>0.83660392947436324</v>
      </c>
      <c r="D16" s="10">
        <f>INDEX(LINEST(F8:F12,E8:E12,1,1),3,1)</f>
        <v>0.99998347571756696</v>
      </c>
      <c r="E16" s="1"/>
      <c r="F16" s="1"/>
      <c r="G16" s="1"/>
      <c r="H16" s="1"/>
      <c r="J16">
        <v>0.99998347571756696</v>
      </c>
      <c r="K16">
        <v>3.6366102403986118E-3</v>
      </c>
    </row>
    <row r="17" spans="1:11" x14ac:dyDescent="0.35">
      <c r="A17" s="2" t="s">
        <v>127</v>
      </c>
      <c r="B17" s="12">
        <f>INDEX(LINEST(F8:F12,E8:E12,1,1),2,1)</f>
        <v>2.3373732331651478E-2</v>
      </c>
      <c r="C17" s="13">
        <f>INDEX(LINEST(F8:F12,E8:E12,1,1), 2,2)</f>
        <v>3.0978088480939957E-3</v>
      </c>
      <c r="D17" s="13">
        <f>INDEX(LINEST(F8:F12,E8:E12,1,1),3,2)</f>
        <v>3.6366102403986118E-3</v>
      </c>
      <c r="E17" s="1"/>
      <c r="F17" s="1"/>
      <c r="G17" s="1"/>
      <c r="H17" s="1"/>
      <c r="J17">
        <v>181548.00000000783</v>
      </c>
      <c r="K17">
        <v>3</v>
      </c>
    </row>
    <row r="18" spans="1:11" x14ac:dyDescent="0.35">
      <c r="J18">
        <v>2.4009603251978779</v>
      </c>
      <c r="K18">
        <v>3.9674802121716148E-5</v>
      </c>
    </row>
    <row r="19" spans="1:11" ht="43.5" x14ac:dyDescent="0.35">
      <c r="B19" s="15"/>
      <c r="E19" s="16" t="s">
        <v>128</v>
      </c>
      <c r="F19" s="16" t="s">
        <v>129</v>
      </c>
    </row>
    <row r="20" spans="1:11" x14ac:dyDescent="0.35">
      <c r="E20" s="16">
        <v>0</v>
      </c>
      <c r="F20" s="16">
        <v>0</v>
      </c>
      <c r="J20">
        <f>INDEX(LINEST(F8:F12,E8:E12,1,1),1,1)</f>
        <v>9.9591850223904004</v>
      </c>
      <c r="K20">
        <f>INDEX(LINEST(F8:F12,E8:E12,1,1),1,2)</f>
        <v>0.83660392947436324</v>
      </c>
    </row>
    <row r="21" spans="1:11" x14ac:dyDescent="0.35">
      <c r="E21" s="16">
        <v>0.113</v>
      </c>
      <c r="F21" s="16">
        <v>1.96</v>
      </c>
      <c r="J21">
        <f>INDEX(LINEST(F8:F12,E8:E12,1,1),2,1)</f>
        <v>2.3373732331651478E-2</v>
      </c>
      <c r="K21">
        <f>INDEX(LINEST(F8:F12,E8:E12,1,1),2,2)</f>
        <v>3.0978088480939957E-3</v>
      </c>
    </row>
    <row r="22" spans="1:11" x14ac:dyDescent="0.35">
      <c r="J22">
        <f>INDEX(LINEST(F8:F12,E8:E12,1,1),3,1)</f>
        <v>0.99998347571756696</v>
      </c>
    </row>
  </sheetData>
  <mergeCells count="4">
    <mergeCell ref="B1:D1"/>
    <mergeCell ref="B14:D14"/>
    <mergeCell ref="G14:H14"/>
    <mergeCell ref="G15:H15"/>
  </mergeCells>
  <printOptions gridLines="1"/>
  <pageMargins left="0.78736111111111118" right="0.78736111111111118" top="1.1512500000000001" bottom="1.1512500000000001" header="0.78736111111111118" footer="0.78736111111111118"/>
  <pageSetup paperSize="0" fitToWidth="0" fitToHeight="0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1902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Red static values</vt:lpstr>
      <vt:lpstr>Blue static values</vt:lpstr>
      <vt:lpstr>Green static values</vt:lpstr>
      <vt:lpstr>Red dynamic multipoint</vt:lpstr>
      <vt:lpstr>Blue dynamic multipoint</vt:lpstr>
      <vt:lpstr>Green dynamic multipoint</vt:lpstr>
      <vt:lpstr>Series and Parallel dynamic mea</vt:lpstr>
      <vt:lpstr>Spring properties</vt:lpstr>
      <vt:lpstr>Instructor 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CSUFTitan</dc:creator>
  <cp:lastModifiedBy>CSUFTitan</cp:lastModifiedBy>
  <cp:revision>105</cp:revision>
  <dcterms:created xsi:type="dcterms:W3CDTF">2022-12-16T20:13:56Z</dcterms:created>
  <dcterms:modified xsi:type="dcterms:W3CDTF">2023-01-29T21:53:48Z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CSU Fullerton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